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oua\Downloads\"/>
    </mc:Choice>
  </mc:AlternateContent>
  <xr:revisionPtr revIDLastSave="0" documentId="13_ncr:1_{A00BA321-0161-4795-B789-45D1969A9728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P&amp;L détaillé" sheetId="11" state="hidden" r:id="rId1"/>
    <sheet name="Etats financiers et ratios" sheetId="1" r:id="rId2"/>
    <sheet name="Ratios prudentiels solvabilité" sheetId="27" r:id="rId3"/>
    <sheet name="Ratios prudentiels liquidité" sheetId="30" r:id="rId4"/>
    <sheet name="E&amp;R 18" sheetId="14" state="hidden" r:id="rId5"/>
    <sheet name="E&amp;R 19" sheetId="18" state="hidden" r:id="rId6"/>
    <sheet name="Evo Activité" sheetId="13" state="hidden" r:id="rId7"/>
    <sheet name="Analyse renta" sheetId="2" state="hidden" r:id="rId8"/>
  </sheets>
  <externalReferences>
    <externalReference r:id="rId9"/>
  </externalReferences>
  <definedNames>
    <definedName name="crossborder" localSheetId="1">'Etats financiers et ratios'!#REF!</definedName>
    <definedName name="crossborder" localSheetId="3">[1]SPREADS!#REF!</definedName>
    <definedName name="crossborder" localSheetId="2">[1]SPREADS!#REF!</definedName>
    <definedName name="crossborder">'Etats financiers et ratios'!#REF!</definedName>
    <definedName name="global" localSheetId="1">'Etats financiers et ratios'!#REF!</definedName>
    <definedName name="global" localSheetId="3">[1]SPREADS!#REF!</definedName>
    <definedName name="global" localSheetId="2">[1]SPREADS!#REF!</definedName>
    <definedName name="global">'Etats financiers et ratios'!#REF!</definedName>
    <definedName name="HH">#REF!</definedName>
    <definedName name="inside" localSheetId="1">'Etats financiers et ratios'!$A$1:$F$154</definedName>
    <definedName name="inside">'Etats financiers et ratios'!$A$1:$F$154</definedName>
    <definedName name="moodynum" localSheetId="1">'Etats financiers et ratios'!#REF!</definedName>
    <definedName name="moodynum" localSheetId="3">[1]SPREADS!#REF!</definedName>
    <definedName name="moodynum" localSheetId="2">[1]SPREADS!#REF!</definedName>
    <definedName name="moodynum">'Etats financiers et ratios'!#REF!</definedName>
    <definedName name="stats_1" localSheetId="1">'Etats financiers et ratios'!#REF!</definedName>
    <definedName name="stats_1" localSheetId="3">[1]SPREADS!#REF!</definedName>
    <definedName name="stats_1" localSheetId="2">[1]SPREADS!#REF!</definedName>
    <definedName name="stats_1">'Etats financiers et ratios'!#REF!</definedName>
    <definedName name="stats_2" localSheetId="1">'Etats financiers et ratios'!#REF!</definedName>
    <definedName name="stats_2" localSheetId="3">[1]SPREADS!#REF!</definedName>
    <definedName name="stats_2" localSheetId="2">[1]SPREADS!#REF!</definedName>
    <definedName name="stats_2">'Etats financiers et ratios'!#REF!</definedName>
    <definedName name="stats_5" localSheetId="1">'Etats financiers et ratios'!#REF!</definedName>
    <definedName name="_xlnm.Print_Area" localSheetId="1">'Etats financiers et ratios'!$A$1:$F$153</definedName>
  </definedNames>
  <calcPr calcId="191029"/>
  <extLs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K42" i="2" l="1"/>
  <c r="K43" i="2"/>
  <c r="K46" i="2"/>
  <c r="K47" i="2"/>
  <c r="K48" i="2"/>
  <c r="K54" i="2"/>
  <c r="W48" i="2" s="1"/>
  <c r="K55" i="2"/>
  <c r="W49" i="2" s="1"/>
  <c r="K60" i="2"/>
  <c r="K65" i="2"/>
  <c r="K41" i="2"/>
  <c r="W45" i="2" s="1"/>
  <c r="W47" i="2" l="1"/>
  <c r="K49" i="2"/>
  <c r="K44" i="2"/>
  <c r="W46" i="2"/>
  <c r="W50" i="2" s="1"/>
  <c r="K51" i="2"/>
  <c r="H54" i="18"/>
  <c r="H53" i="18"/>
  <c r="H26" i="18"/>
  <c r="H25" i="18"/>
  <c r="M24" i="18"/>
  <c r="D103" i="1"/>
  <c r="D104" i="1"/>
  <c r="A104" i="1"/>
  <c r="A103" i="1"/>
  <c r="AA48" i="2" l="1"/>
  <c r="AA49" i="2"/>
  <c r="AA45" i="2"/>
  <c r="AA46" i="2"/>
  <c r="AA47" i="2"/>
  <c r="K52" i="2"/>
  <c r="K57" i="2"/>
  <c r="D71" i="1"/>
  <c r="D74" i="1"/>
  <c r="D75" i="1"/>
  <c r="D59" i="1"/>
  <c r="D99" i="1"/>
  <c r="D88" i="1"/>
  <c r="H55" i="18" l="1"/>
  <c r="AA50" i="2"/>
  <c r="D85" i="1"/>
  <c r="K58" i="2"/>
  <c r="K62" i="2"/>
  <c r="D69" i="1"/>
  <c r="D70" i="1"/>
  <c r="D72" i="1"/>
  <c r="D87" i="1"/>
  <c r="D93" i="1"/>
  <c r="D95" i="1"/>
  <c r="D101" i="1"/>
  <c r="D76" i="1"/>
  <c r="D98" i="1"/>
  <c r="D61" i="1"/>
  <c r="D84" i="1"/>
  <c r="D90" i="1"/>
  <c r="D94" i="1"/>
  <c r="D89" i="1"/>
  <c r="D73" i="1"/>
  <c r="D65" i="1"/>
  <c r="J6" i="11"/>
  <c r="J11" i="11"/>
  <c r="K33" i="2" l="1"/>
  <c r="I35" i="18"/>
  <c r="I38" i="18"/>
  <c r="I47" i="18"/>
  <c r="I49" i="18"/>
  <c r="I42" i="18"/>
  <c r="I37" i="18"/>
  <c r="I48" i="18"/>
  <c r="I50" i="18"/>
  <c r="I33" i="18"/>
  <c r="I32" i="18"/>
  <c r="I36" i="18"/>
  <c r="I45" i="18"/>
  <c r="I41" i="18"/>
  <c r="I44" i="18"/>
  <c r="I43" i="18"/>
  <c r="I51" i="18"/>
  <c r="I34" i="18"/>
  <c r="I39" i="18"/>
  <c r="I40" i="18"/>
  <c r="I46" i="18"/>
  <c r="H27" i="18"/>
  <c r="D58" i="1"/>
  <c r="D57" i="1"/>
  <c r="K63" i="2"/>
  <c r="K67" i="2"/>
  <c r="K68" i="2" s="1"/>
  <c r="D64" i="1"/>
  <c r="D63" i="1"/>
  <c r="D56" i="1"/>
  <c r="J13" i="11"/>
  <c r="J20" i="11" s="1"/>
  <c r="K20" i="2" s="1"/>
  <c r="K11" i="2" s="1"/>
  <c r="I54" i="18" l="1"/>
  <c r="I53" i="18"/>
  <c r="M25" i="18"/>
  <c r="I22" i="18"/>
  <c r="I15" i="18"/>
  <c r="I9" i="18"/>
  <c r="N14" i="18"/>
  <c r="I14" i="18"/>
  <c r="I13" i="18"/>
  <c r="N12" i="18"/>
  <c r="I18" i="18"/>
  <c r="I11" i="18"/>
  <c r="I17" i="18"/>
  <c r="N16" i="18"/>
  <c r="N9" i="18"/>
  <c r="I21" i="18"/>
  <c r="N8" i="18"/>
  <c r="I8" i="18"/>
  <c r="I20" i="18"/>
  <c r="N7" i="18"/>
  <c r="N19" i="18"/>
  <c r="I7" i="18"/>
  <c r="I19" i="18"/>
  <c r="N6" i="18"/>
  <c r="N18" i="18"/>
  <c r="N17" i="18"/>
  <c r="N4" i="18"/>
  <c r="I4" i="18"/>
  <c r="N22" i="18"/>
  <c r="N20" i="18"/>
  <c r="I12" i="18"/>
  <c r="N11" i="18"/>
  <c r="I10" i="18"/>
  <c r="N13" i="18"/>
  <c r="I6" i="18"/>
  <c r="N5" i="18"/>
  <c r="N10" i="18"/>
  <c r="I23" i="18"/>
  <c r="I5" i="18"/>
  <c r="I16" i="18"/>
  <c r="N21" i="18"/>
  <c r="N15" i="18"/>
  <c r="K32" i="2"/>
  <c r="K34" i="2" s="1"/>
  <c r="J14" i="11"/>
  <c r="K69" i="2"/>
  <c r="J21" i="11"/>
  <c r="J27" i="11"/>
  <c r="I25" i="18" l="1"/>
  <c r="I26" i="18"/>
  <c r="N24" i="18"/>
  <c r="K74" i="2"/>
  <c r="K78" i="2"/>
  <c r="K77" i="2"/>
  <c r="K73" i="2"/>
  <c r="K79" i="2"/>
  <c r="J28" i="11"/>
  <c r="J32" i="11"/>
  <c r="J33" i="11" l="1"/>
  <c r="J37" i="11"/>
  <c r="J41" i="11" s="1"/>
  <c r="J44" i="11" l="1"/>
  <c r="K21" i="2"/>
  <c r="K15" i="2" s="1"/>
  <c r="K27" i="2" l="1"/>
  <c r="K28" i="2"/>
  <c r="I20" i="13" l="1"/>
  <c r="H20" i="13"/>
  <c r="I19" i="13"/>
  <c r="H19" i="13"/>
  <c r="I26" i="13"/>
  <c r="L26" i="13" s="1"/>
  <c r="I24" i="13"/>
  <c r="L24" i="13" s="1"/>
  <c r="I15" i="13"/>
  <c r="I12" i="13"/>
  <c r="I8" i="13"/>
  <c r="I25" i="13" l="1"/>
  <c r="I27" i="13"/>
  <c r="K27" i="13"/>
  <c r="K25" i="13"/>
  <c r="H54" i="14"/>
  <c r="H53" i="14"/>
  <c r="I42" i="2"/>
  <c r="I43" i="2"/>
  <c r="I46" i="2"/>
  <c r="I47" i="2"/>
  <c r="I48" i="2"/>
  <c r="I65" i="2"/>
  <c r="J42" i="2"/>
  <c r="J43" i="2"/>
  <c r="J46" i="2"/>
  <c r="J47" i="2"/>
  <c r="J48" i="2"/>
  <c r="J65" i="2"/>
  <c r="M25" i="14"/>
  <c r="H27" i="14"/>
  <c r="I32" i="14" s="1"/>
  <c r="N4" i="14"/>
  <c r="M24" i="14"/>
  <c r="N5" i="14"/>
  <c r="N6" i="14"/>
  <c r="N7" i="14"/>
  <c r="N8" i="14"/>
  <c r="N9" i="14"/>
  <c r="N10" i="14"/>
  <c r="N11" i="14"/>
  <c r="N12" i="14"/>
  <c r="N13" i="14"/>
  <c r="N14" i="14"/>
  <c r="N16" i="14"/>
  <c r="N17" i="14"/>
  <c r="N18" i="14"/>
  <c r="N19" i="14"/>
  <c r="N20" i="14"/>
  <c r="N21" i="14"/>
  <c r="I5" i="14"/>
  <c r="I6" i="14"/>
  <c r="I7" i="14"/>
  <c r="I8" i="14"/>
  <c r="I10" i="14"/>
  <c r="I11" i="14"/>
  <c r="I12" i="14"/>
  <c r="I13" i="14"/>
  <c r="I14" i="14"/>
  <c r="I15" i="14"/>
  <c r="I16" i="14"/>
  <c r="I17" i="14"/>
  <c r="I18" i="14"/>
  <c r="I19" i="14"/>
  <c r="I20" i="14"/>
  <c r="I22" i="14"/>
  <c r="I23" i="14"/>
  <c r="I4" i="14"/>
  <c r="H26" i="14"/>
  <c r="H25" i="14"/>
  <c r="K7" i="13"/>
  <c r="K14" i="13"/>
  <c r="H27" i="13"/>
  <c r="G27" i="13"/>
  <c r="H25" i="13"/>
  <c r="G25" i="13"/>
  <c r="H12" i="13"/>
  <c r="G12" i="13"/>
  <c r="H15" i="13"/>
  <c r="G15" i="13"/>
  <c r="G8" i="13"/>
  <c r="H8" i="13"/>
  <c r="J41" i="2"/>
  <c r="I11" i="11"/>
  <c r="J54" i="2"/>
  <c r="V48" i="2" s="1"/>
  <c r="J55" i="2"/>
  <c r="V49" i="2" s="1"/>
  <c r="I60" i="2"/>
  <c r="I41" i="2"/>
  <c r="H11" i="11"/>
  <c r="I54" i="2"/>
  <c r="U48" i="2" s="1"/>
  <c r="A66" i="1"/>
  <c r="A79" i="1"/>
  <c r="N24" i="14" l="1"/>
  <c r="N22" i="14"/>
  <c r="U47" i="2"/>
  <c r="D77" i="1"/>
  <c r="J49" i="2"/>
  <c r="I49" i="2"/>
  <c r="V46" i="2"/>
  <c r="I43" i="14"/>
  <c r="D43" i="1"/>
  <c r="I39" i="14"/>
  <c r="H6" i="11"/>
  <c r="H13" i="11" s="1"/>
  <c r="H14" i="11" s="1"/>
  <c r="I35" i="14"/>
  <c r="H55" i="14"/>
  <c r="I21" i="14"/>
  <c r="I9" i="14"/>
  <c r="N15" i="14"/>
  <c r="U46" i="2"/>
  <c r="V47" i="2"/>
  <c r="I51" i="14"/>
  <c r="I47" i="14"/>
  <c r="J60" i="2"/>
  <c r="I55" i="2"/>
  <c r="U49" i="2" s="1"/>
  <c r="I51" i="2"/>
  <c r="U45" i="2"/>
  <c r="I44" i="2"/>
  <c r="J44" i="2"/>
  <c r="V45" i="2"/>
  <c r="J51" i="2"/>
  <c r="I26" i="14"/>
  <c r="I25" i="14"/>
  <c r="I50" i="14"/>
  <c r="I46" i="14"/>
  <c r="I42" i="14"/>
  <c r="I38" i="14"/>
  <c r="I34" i="14"/>
  <c r="I6" i="11"/>
  <c r="I13" i="11" s="1"/>
  <c r="I49" i="14"/>
  <c r="I45" i="14"/>
  <c r="I41" i="14"/>
  <c r="I37" i="14"/>
  <c r="I33" i="14"/>
  <c r="I48" i="14"/>
  <c r="I44" i="14"/>
  <c r="I40" i="14"/>
  <c r="I36" i="14"/>
  <c r="I33" i="2" l="1"/>
  <c r="J33" i="2"/>
  <c r="H20" i="11"/>
  <c r="D78" i="1"/>
  <c r="D27" i="1"/>
  <c r="I54" i="14"/>
  <c r="D38" i="1"/>
  <c r="J57" i="2"/>
  <c r="J52" i="2"/>
  <c r="I20" i="11"/>
  <c r="I14" i="11"/>
  <c r="I53" i="14"/>
  <c r="V50" i="2"/>
  <c r="Z45" i="2" s="1"/>
  <c r="U50" i="2"/>
  <c r="Y45" i="2" s="1"/>
  <c r="I57" i="2"/>
  <c r="I52" i="2"/>
  <c r="H21" i="11"/>
  <c r="H27" i="11"/>
  <c r="I20" i="2"/>
  <c r="I11" i="2" s="1"/>
  <c r="D33" i="1"/>
  <c r="Y49" i="2" l="1"/>
  <c r="I32" i="2"/>
  <c r="M12" i="2"/>
  <c r="M11" i="2"/>
  <c r="D15" i="1"/>
  <c r="D91" i="1"/>
  <c r="D96" i="1"/>
  <c r="D86" i="1"/>
  <c r="D39" i="1"/>
  <c r="H32" i="11"/>
  <c r="H28" i="11"/>
  <c r="Y46" i="2"/>
  <c r="Y47" i="2"/>
  <c r="Y48" i="2"/>
  <c r="I62" i="2"/>
  <c r="I58" i="2"/>
  <c r="I12" i="2"/>
  <c r="Z46" i="2"/>
  <c r="Z49" i="2"/>
  <c r="Z48" i="2"/>
  <c r="Z47" i="2"/>
  <c r="J20" i="2"/>
  <c r="J11" i="2" s="1"/>
  <c r="K12" i="2" s="1"/>
  <c r="I21" i="11"/>
  <c r="I27" i="11"/>
  <c r="J62" i="2"/>
  <c r="J58" i="2"/>
  <c r="J32" i="2" l="1"/>
  <c r="J34" i="2" s="1"/>
  <c r="D119" i="1"/>
  <c r="D125" i="1"/>
  <c r="D122" i="1"/>
  <c r="D127" i="1"/>
  <c r="D117" i="1"/>
  <c r="D113" i="1"/>
  <c r="D112" i="1"/>
  <c r="D114" i="1"/>
  <c r="D108" i="1"/>
  <c r="D124" i="1"/>
  <c r="D109" i="1"/>
  <c r="D121" i="1"/>
  <c r="D128" i="1"/>
  <c r="D120" i="1"/>
  <c r="D126" i="1"/>
  <c r="D111" i="1"/>
  <c r="D123" i="1"/>
  <c r="D116" i="1"/>
  <c r="D110" i="1"/>
  <c r="D115" i="1"/>
  <c r="D60" i="1"/>
  <c r="D79" i="1"/>
  <c r="D135" i="1"/>
  <c r="D92" i="1"/>
  <c r="J79" i="2"/>
  <c r="J78" i="2"/>
  <c r="J77" i="2"/>
  <c r="J74" i="2"/>
  <c r="J73" i="2"/>
  <c r="Z50" i="2"/>
  <c r="Y50" i="2"/>
  <c r="I32" i="11"/>
  <c r="I28" i="11"/>
  <c r="I34" i="2"/>
  <c r="H37" i="11"/>
  <c r="H41" i="11" s="1"/>
  <c r="H33" i="11"/>
  <c r="D44" i="1"/>
  <c r="D147" i="1"/>
  <c r="D138" i="1"/>
  <c r="D145" i="1"/>
  <c r="D137" i="1"/>
  <c r="D142" i="1"/>
  <c r="D141" i="1"/>
  <c r="D140" i="1"/>
  <c r="D134" i="1"/>
  <c r="D136" i="1"/>
  <c r="D139" i="1"/>
  <c r="D144" i="1"/>
  <c r="D150" i="1"/>
  <c r="D143" i="1"/>
  <c r="D148" i="1"/>
  <c r="D133" i="1"/>
  <c r="J63" i="2"/>
  <c r="J67" i="2"/>
  <c r="J68" i="2" s="1"/>
  <c r="J12" i="2"/>
  <c r="I67" i="2"/>
  <c r="I68" i="2" s="1"/>
  <c r="I63" i="2"/>
  <c r="M34" i="2" l="1"/>
  <c r="I69" i="2"/>
  <c r="D62" i="1"/>
  <c r="D97" i="1"/>
  <c r="I74" i="2"/>
  <c r="I79" i="2"/>
  <c r="I78" i="2"/>
  <c r="I73" i="2"/>
  <c r="I77" i="2"/>
  <c r="D47" i="1"/>
  <c r="D146" i="1"/>
  <c r="H44" i="11"/>
  <c r="I21" i="2"/>
  <c r="I15" i="2" s="1"/>
  <c r="I37" i="11"/>
  <c r="I41" i="11" s="1"/>
  <c r="I33" i="11"/>
  <c r="J69" i="2"/>
  <c r="I27" i="2" l="1"/>
  <c r="I28" i="2"/>
  <c r="M16" i="2"/>
  <c r="M15" i="2"/>
  <c r="D100" i="1"/>
  <c r="D66" i="1"/>
  <c r="D49" i="1"/>
  <c r="D149" i="1"/>
  <c r="I16" i="2"/>
  <c r="J21" i="2"/>
  <c r="J15" i="2" s="1"/>
  <c r="K16" i="2" s="1"/>
  <c r="I44" i="11"/>
  <c r="D102" i="1" l="1"/>
  <c r="J16" i="2"/>
  <c r="D151" i="1"/>
  <c r="J27" i="2" l="1"/>
  <c r="M27" i="2" s="1"/>
  <c r="J28" i="2"/>
  <c r="M28" i="2" s="1"/>
</calcChain>
</file>

<file path=xl/sharedStrings.xml><?xml version="1.0" encoding="utf-8"?>
<sst xmlns="http://schemas.openxmlformats.org/spreadsheetml/2006/main" count="621" uniqueCount="281">
  <si>
    <t>Notes:</t>
  </si>
  <si>
    <t>Caisse</t>
  </si>
  <si>
    <t>Créances interbancaires</t>
  </si>
  <si>
    <t>Titres de placement</t>
  </si>
  <si>
    <t>Autres titres</t>
  </si>
  <si>
    <t>Créances brutes sur la clientèle</t>
  </si>
  <si>
    <t>Créances nettes sur la clientèle</t>
  </si>
  <si>
    <t>Immobilisations financières</t>
  </si>
  <si>
    <t>Autres actifs</t>
  </si>
  <si>
    <t>Dépôts de la clientèle</t>
  </si>
  <si>
    <t>Dettes interbancaires</t>
  </si>
  <si>
    <t>Emprunts</t>
  </si>
  <si>
    <t>Autres passifs</t>
  </si>
  <si>
    <t>Dette subordonnée</t>
  </si>
  <si>
    <t>Intérêts minoritaires</t>
  </si>
  <si>
    <t>Total du passif</t>
  </si>
  <si>
    <t>Actifs immobilisés corporels et incorporels</t>
  </si>
  <si>
    <t>Total du passif, hors dette subordonnée et fonds propres</t>
  </si>
  <si>
    <t>Intérêts perçus</t>
  </si>
  <si>
    <t>Intérêts payés</t>
  </si>
  <si>
    <t>Marge d'intérêts</t>
  </si>
  <si>
    <t>Produit net des titres de placement</t>
  </si>
  <si>
    <t>Total des produits d'exploitation</t>
  </si>
  <si>
    <t>Charges de personnel</t>
  </si>
  <si>
    <t>Total des charges d'exploitation</t>
  </si>
  <si>
    <t>Autres charges d'exploitation</t>
  </si>
  <si>
    <t>Résultat non courant, net</t>
  </si>
  <si>
    <t>Résultat avant impôt sur le bénéfice</t>
  </si>
  <si>
    <t>Impôt sur le bénéfice</t>
  </si>
  <si>
    <t>Résultat net</t>
  </si>
  <si>
    <t>Résultat net, part du Groupe</t>
  </si>
  <si>
    <t>Produit net des opérations de change</t>
  </si>
  <si>
    <t>Total des produits d'exploitation, hors marge d'intérêt</t>
  </si>
  <si>
    <t>Commissions nettes</t>
  </si>
  <si>
    <t>Autres produits d'exploitation nets</t>
  </si>
  <si>
    <t>Produit pré-provisions (PPP)</t>
  </si>
  <si>
    <t>COMPOSITION DU BILAN  (% du total de l'actif)</t>
  </si>
  <si>
    <t>COMPOSITION DU COMPTE DE RESULTATS  (% du total des produits d'exploitation)</t>
  </si>
  <si>
    <t>RATIOS</t>
  </si>
  <si>
    <t>Rentabilité</t>
  </si>
  <si>
    <t>Capitalisation</t>
  </si>
  <si>
    <t>Qualité d'actifs</t>
  </si>
  <si>
    <t>Intérêts payés / Intérêts perçus (%)</t>
  </si>
  <si>
    <t>Produits d'exploitation, hors marge / Total des produits d'exploitation (%)</t>
  </si>
  <si>
    <t>Impôt sur le bénéfice / Résultat avant impôt (%)</t>
  </si>
  <si>
    <t>Charges de personnel / Total des produits d'exploitation (%)</t>
  </si>
  <si>
    <t>Charges de personnel / Total des charges d'exploitation (%)</t>
  </si>
  <si>
    <t>Créances nettes sur la clientèle / Dépôts de la clientèle (%)</t>
  </si>
  <si>
    <t>Dépôts de la clientèle / Total des dépôts (%)</t>
  </si>
  <si>
    <t>Créances interbancaires / Dettes interbancaires (%)</t>
  </si>
  <si>
    <t>1. Actifs à rendements = Créances interbancaires + Titres + Créances sur le clientèle</t>
  </si>
  <si>
    <t>2. Passifs à rendements = Dépôts de la clientèle + Dettes interbancaires + Emprunts + Dette surbordonnée</t>
  </si>
  <si>
    <t>3. Marge nette = Intérêts perçus / Moyenne des actifs à rendements - Intérêts payés / Moyenne des passifs à rendements</t>
  </si>
  <si>
    <t>5. Coefficient d'exploitation = Charges d'exploitation / Produits d'exploitation</t>
  </si>
  <si>
    <t>Capitaux propres</t>
  </si>
  <si>
    <t>Provisions pour risques et charges (PRC)</t>
  </si>
  <si>
    <t>Fonds propres = capitaux propres + minoritaires + PRC</t>
  </si>
  <si>
    <t>Dépôts de la clientèle / Capitaux propres (x)</t>
  </si>
  <si>
    <t>Levier financier = Capitaux propres / Actifs (%)</t>
  </si>
  <si>
    <t>Fonds propres / Actifs (%)</t>
  </si>
  <si>
    <t>Capitaux propres / Fonds propres (%)</t>
  </si>
  <si>
    <t>Retour sur fonds propres "Tier 1" (%)</t>
  </si>
  <si>
    <t>7. Actifs liquides = Caisse + Créances interbancaires + Titres</t>
  </si>
  <si>
    <t>Provisions pour créances en souffrance (PCS)</t>
  </si>
  <si>
    <t>Dotations aux provisions pour créances en souffrance (DPCS), nettes</t>
  </si>
  <si>
    <t>Créances en souffrance (CS) / Créances brutes sur la clientèles (%)</t>
  </si>
  <si>
    <t>PCS / Créances brutes sur la clientèles (%)</t>
  </si>
  <si>
    <t>Couverture des CS par les provisions = PCS/CS (%)</t>
  </si>
  <si>
    <t xml:space="preserve">Dotations aux PCS / PPP (%) </t>
  </si>
  <si>
    <t xml:space="preserve">Dotations aux PCS / Créances brutes sur la clientèle (%) </t>
  </si>
  <si>
    <t xml:space="preserve">PPP / Créances nettes sur la clientèle (%) </t>
  </si>
  <si>
    <t xml:space="preserve">Capitaux propres / Créances nettes sur la clientèle (%) </t>
  </si>
  <si>
    <t>Liquidité</t>
  </si>
  <si>
    <t>TAUX DE CROISSANCE  DU BILAN (%)</t>
  </si>
  <si>
    <t>TAUX DE CROISSANCE  DU COMPTE DE RESULTATS (%)</t>
  </si>
  <si>
    <t>Dotations aux amortissements et aux provisions sur immobilisations</t>
  </si>
  <si>
    <t>4. Marge relative d'intérêts = Marge d'intérêts / Moyenne des actifs à rendements</t>
  </si>
  <si>
    <t>6. Total des dépôts = Dépôts de la clientèle + Dettes interbancaires</t>
  </si>
  <si>
    <t>BILAN (en millions de FCFA)</t>
  </si>
  <si>
    <t>Total de l'actif (en millions de FCFA)</t>
  </si>
  <si>
    <t>COMPTE DE RESULTATS  (en millions de FCFA)</t>
  </si>
  <si>
    <t>Produit Net Bancaire</t>
  </si>
  <si>
    <t>Résultat Net</t>
  </si>
  <si>
    <t>En millions de FCFA</t>
  </si>
  <si>
    <t>évolution</t>
  </si>
  <si>
    <t>Evolution sur 3 ans</t>
  </si>
  <si>
    <t>Retour sur Actifs (ROA)</t>
  </si>
  <si>
    <t>Retour sur Fonds Propres (ROE)</t>
  </si>
  <si>
    <t>Moy. 3 ans</t>
  </si>
  <si>
    <t>Coefficient d'exploitation</t>
  </si>
  <si>
    <t>Produits clientèle</t>
  </si>
  <si>
    <t>Produits établissements de crédit</t>
  </si>
  <si>
    <t>Charges clientèle</t>
  </si>
  <si>
    <t>Charges établissements de crédit</t>
  </si>
  <si>
    <t>Charges sur titres de placement</t>
  </si>
  <si>
    <t>Produits sur titres de placement</t>
  </si>
  <si>
    <t>Marge sur commissions</t>
  </si>
  <si>
    <t>Marge d'intermédiation</t>
  </si>
  <si>
    <t>Marge d'intermédiation en %</t>
  </si>
  <si>
    <t>Autres produits</t>
  </si>
  <si>
    <t xml:space="preserve">Produit Net Bancaire </t>
  </si>
  <si>
    <t>Charges d'exploitation</t>
  </si>
  <si>
    <t>Marge opérationnelle</t>
  </si>
  <si>
    <t>Coût du risque</t>
  </si>
  <si>
    <t>Marge après prise en compte du coût du risque</t>
  </si>
  <si>
    <t>Marge sur activités bancaires</t>
  </si>
  <si>
    <t>A</t>
  </si>
  <si>
    <t>Total produits d'intermédiation</t>
  </si>
  <si>
    <t>B</t>
  </si>
  <si>
    <t>Total charges d'intemédiation</t>
  </si>
  <si>
    <t>C = A-B</t>
  </si>
  <si>
    <t>D</t>
  </si>
  <si>
    <t>E</t>
  </si>
  <si>
    <t>F = C+D+E</t>
  </si>
  <si>
    <t>G</t>
  </si>
  <si>
    <t>H = F - G</t>
  </si>
  <si>
    <t>C / A</t>
  </si>
  <si>
    <t>F / (A+D+E)</t>
  </si>
  <si>
    <t>H / (A+D+E)</t>
  </si>
  <si>
    <t>I</t>
  </si>
  <si>
    <t>J = H - I</t>
  </si>
  <si>
    <t>J / (A+D+E)</t>
  </si>
  <si>
    <t>Coefficient de liquidité</t>
  </si>
  <si>
    <t>N/A</t>
  </si>
  <si>
    <t>A. Normes de solvabilité</t>
  </si>
  <si>
    <t>Ratio de solvabilité totale</t>
  </si>
  <si>
    <t>Norme de division des risques</t>
  </si>
  <si>
    <t xml:space="preserve">C. Ratio de levier </t>
  </si>
  <si>
    <t>Ratio de levier</t>
  </si>
  <si>
    <t>D. Autres normes prudentielles</t>
  </si>
  <si>
    <t>Limite sur le total des immobilisations et des participations</t>
  </si>
  <si>
    <t>Limite individuelle sur les participations dans les entités commerciales (25% du capital de l'entreprise)</t>
  </si>
  <si>
    <t>Situation de l'établissement</t>
  </si>
  <si>
    <t>CONFORME</t>
  </si>
  <si>
    <t>Résultat exceptionnel</t>
  </si>
  <si>
    <t>Produits net des opérations de change</t>
  </si>
  <si>
    <t>Autres charges générales d'exploitation</t>
  </si>
  <si>
    <t>Amortissements</t>
  </si>
  <si>
    <t>Résultat courant Avant Impôt</t>
  </si>
  <si>
    <t xml:space="preserve">Impôt sur les bénéfices </t>
  </si>
  <si>
    <t>Résultat Net CAC</t>
  </si>
  <si>
    <t>Check HH</t>
  </si>
  <si>
    <t>F</t>
  </si>
  <si>
    <t>G = C+D+E</t>
  </si>
  <si>
    <t>G / (A+D+E)</t>
  </si>
  <si>
    <t>H</t>
  </si>
  <si>
    <t>J</t>
  </si>
  <si>
    <t>K = G - H -I -J</t>
  </si>
  <si>
    <t>K / (A+D+E)</t>
  </si>
  <si>
    <t>L</t>
  </si>
  <si>
    <t>M = K - L</t>
  </si>
  <si>
    <t>M / (A+D+E)</t>
  </si>
  <si>
    <t>Autres produits d'exploitation (net)</t>
  </si>
  <si>
    <t>N</t>
  </si>
  <si>
    <t>O = M + N</t>
  </si>
  <si>
    <t>P</t>
  </si>
  <si>
    <t>Q = O + P</t>
  </si>
  <si>
    <t xml:space="preserve">Clients </t>
  </si>
  <si>
    <t>Nombre d'agences</t>
  </si>
  <si>
    <t xml:space="preserve">Emplois clientèle </t>
  </si>
  <si>
    <t>Ressources clientèle</t>
  </si>
  <si>
    <t>PNB</t>
  </si>
  <si>
    <t xml:space="preserve">Nombre de Clients </t>
  </si>
  <si>
    <t>En milliards de FCFA</t>
  </si>
  <si>
    <t>Evolution</t>
  </si>
  <si>
    <t>Année d'activité</t>
  </si>
  <si>
    <t xml:space="preserve">AGENT COMPTABLE CENTRALE DU TRESOR </t>
  </si>
  <si>
    <t xml:space="preserve">M.K. CONSTRUCTION </t>
  </si>
  <si>
    <t xml:space="preserve">ANSUT </t>
  </si>
  <si>
    <t xml:space="preserve">CIMENTS DE COTE D'IVOIRE </t>
  </si>
  <si>
    <t xml:space="preserve">SCI MASSINA </t>
  </si>
  <si>
    <t xml:space="preserve">SOCIETE IVOIRIENNE DE TRANSIT ET DIS </t>
  </si>
  <si>
    <t xml:space="preserve">SOCIETE DES MINES DE KOMANA </t>
  </si>
  <si>
    <t xml:space="preserve">IVORY DIAMOND CEMENT SA </t>
  </si>
  <si>
    <t xml:space="preserve">Contrepartie </t>
  </si>
  <si>
    <t>Total 5 plus gros clients</t>
  </si>
  <si>
    <t>Total 20 plus gros clients</t>
  </si>
  <si>
    <t>SOCIETE IVOIRIENNE DE RAFFINAGE</t>
  </si>
  <si>
    <t>SOCIETE D'HABITATION MODEREES (SHM)</t>
  </si>
  <si>
    <t>NSE CI</t>
  </si>
  <si>
    <t>TAN IVOIRE</t>
  </si>
  <si>
    <t>AGBE SENEGAL</t>
  </si>
  <si>
    <t>DOUK OIL COTE D'IVOIRE</t>
  </si>
  <si>
    <t>NETWORK ENERGY ET TELECOMMUNICATION</t>
  </si>
  <si>
    <t>STE IVOIRIENNE POUR L'INVEST IMMOBILIER</t>
  </si>
  <si>
    <t>SGTI SARL</t>
  </si>
  <si>
    <t>SOAF ADA</t>
  </si>
  <si>
    <t>D.M.T</t>
  </si>
  <si>
    <t>SDTM CI</t>
  </si>
  <si>
    <t xml:space="preserve">Engagements </t>
  </si>
  <si>
    <t>TOTAL Portefeuille Créances brutes + engagements hors bilan</t>
  </si>
  <si>
    <t>Part du total</t>
  </si>
  <si>
    <t>Secteur BCEAO</t>
  </si>
  <si>
    <t>ACTIVITE D'ADMINSTRATION PUBLIQUE</t>
  </si>
  <si>
    <t>ACTIVITES DE FABRICATION</t>
  </si>
  <si>
    <t>CONSTRUCTION</t>
  </si>
  <si>
    <t>COMMERCE</t>
  </si>
  <si>
    <t>ACTIVITES IMMOBILIERES</t>
  </si>
  <si>
    <t>PARTICULIERS</t>
  </si>
  <si>
    <t>TRANSPORTS ET ENTREPROSAGE</t>
  </si>
  <si>
    <t>AGRICULTURE, SYLVICULTURE, PECHE</t>
  </si>
  <si>
    <t>ACTIVITES EXTRACTIVES</t>
  </si>
  <si>
    <t>ACTIVITES FINANCIERES ET D'ASSURANCE</t>
  </si>
  <si>
    <t>HEBERGEMENT ET RESTAURATION</t>
  </si>
  <si>
    <t>ACTIVITE POUR LA SANTE HUMAINE</t>
  </si>
  <si>
    <t>ENSEIGNEMENT</t>
  </si>
  <si>
    <t>PRODUCTION ET DISTRIBUTION D'ELECTRICITE</t>
  </si>
  <si>
    <t>ACTIVITES SPECIALISEES DES MENAGES</t>
  </si>
  <si>
    <t>ACTIVITES SCIENTIFIQUES ET TECHNIQUES</t>
  </si>
  <si>
    <t>PRODUCTION ET DISTRIBUTION D'EAU &amp; ASSAINISSEMENT</t>
  </si>
  <si>
    <t>INFORMATION ET COMMUNICATION</t>
  </si>
  <si>
    <t>AUTRES ACTIVITES DE SERVICE</t>
  </si>
  <si>
    <t>Total 5 premiers secteurs</t>
  </si>
  <si>
    <t>Décomposition du Produit Net bancaire</t>
  </si>
  <si>
    <t>Marge sur titres de placement</t>
  </si>
  <si>
    <t>Marge sur commission</t>
  </si>
  <si>
    <t>Marge sur autres produits</t>
  </si>
  <si>
    <t>Marge sur opérations interbancaires</t>
  </si>
  <si>
    <t>En %</t>
  </si>
  <si>
    <t>Marge sur activité de crédit</t>
  </si>
  <si>
    <t>Marge après coût du risque</t>
  </si>
  <si>
    <t>Score WARA</t>
  </si>
  <si>
    <t xml:space="preserve">Les déterminants de la rentabilité de CBI CI </t>
  </si>
  <si>
    <t>Client</t>
  </si>
  <si>
    <t>CGRAE</t>
  </si>
  <si>
    <t>CONSEIL DU COTON ET DE L'ANACARDE</t>
  </si>
  <si>
    <t>FONDS CONSEIL NATIONAL DE SECURITE</t>
  </si>
  <si>
    <t>FIDRA</t>
  </si>
  <si>
    <t>CONSEIL DU CAFE CACAO</t>
  </si>
  <si>
    <t>DMT</t>
  </si>
  <si>
    <t>CRRAE - UMOA</t>
  </si>
  <si>
    <t>GARI</t>
  </si>
  <si>
    <t>SUNU ASSURANCE VIE CI</t>
  </si>
  <si>
    <t>CNPS</t>
  </si>
  <si>
    <t>GESTOCI</t>
  </si>
  <si>
    <t>SAHAM ASSURANCE VIE CI</t>
  </si>
  <si>
    <t>ANSUT</t>
  </si>
  <si>
    <t>COO.P.A.RE.S</t>
  </si>
  <si>
    <t>AFRIQUE GENIE BATIMENT</t>
  </si>
  <si>
    <t>SDA CI</t>
  </si>
  <si>
    <t>COMPAGNIE IVOIRIENNE DE COTON</t>
  </si>
  <si>
    <t>Dépôt total</t>
  </si>
  <si>
    <t>CAGR</t>
  </si>
  <si>
    <t>TOTAL dépôts</t>
  </si>
  <si>
    <t>Liste des normes prudentielles</t>
  </si>
  <si>
    <t>Ratio de Fonds propres CET 1</t>
  </si>
  <si>
    <t>Ratio de Fonds propres de base T1</t>
  </si>
  <si>
    <t>B. Norme de division des risques</t>
  </si>
  <si>
    <t>Limite individuelle sur les participations dans les entités commerciales (15% des Fonds propres T1 de l'établissement)</t>
  </si>
  <si>
    <t>Limite globale des participations dans les entités commerciales (60%  des FPE de l'établissement</t>
  </si>
  <si>
    <t>Limite sur les immobilisations hors exploitation</t>
  </si>
  <si>
    <t>Limite sur les prêts aux actionnaire, dirifgeants et personnel</t>
  </si>
  <si>
    <t>Couverture des emplois MT et LT par les Ressources Stables</t>
  </si>
  <si>
    <t>Seuil</t>
  </si>
  <si>
    <t>Retour sur Actifs</t>
  </si>
  <si>
    <t>Retour sur Actifs moyens</t>
  </si>
  <si>
    <t>Retour sur capitaux propres</t>
  </si>
  <si>
    <r>
      <t xml:space="preserve">Marge nette (%) </t>
    </r>
    <r>
      <rPr>
        <b/>
        <vertAlign val="superscript"/>
        <sz val="12"/>
        <rFont val="Garamond"/>
        <family val="1"/>
      </rPr>
      <t>3</t>
    </r>
  </si>
  <si>
    <r>
      <t>Marge relative d'intérêts (%)</t>
    </r>
    <r>
      <rPr>
        <b/>
        <vertAlign val="superscript"/>
        <sz val="12"/>
        <rFont val="Garamond"/>
        <family val="1"/>
      </rPr>
      <t xml:space="preserve"> 4</t>
    </r>
  </si>
  <si>
    <r>
      <t>Coefficient d'exploitation (%)</t>
    </r>
    <r>
      <rPr>
        <b/>
        <vertAlign val="superscript"/>
        <sz val="12"/>
        <rFont val="Garamond"/>
        <family val="1"/>
      </rPr>
      <t xml:space="preserve"> 5</t>
    </r>
  </si>
  <si>
    <r>
      <t>Créances nettes sur la clientèle / Total des dépôts</t>
    </r>
    <r>
      <rPr>
        <b/>
        <vertAlign val="superscript"/>
        <sz val="12"/>
        <rFont val="Garamond"/>
        <family val="1"/>
      </rPr>
      <t xml:space="preserve"> 6</t>
    </r>
  </si>
  <si>
    <t>Créances nettes sur la clientèle / Actif  (%)</t>
  </si>
  <si>
    <r>
      <t xml:space="preserve">Actifs liquides </t>
    </r>
    <r>
      <rPr>
        <b/>
        <vertAlign val="superscript"/>
        <sz val="12"/>
        <rFont val="Garamond"/>
        <family val="1"/>
      </rPr>
      <t>7</t>
    </r>
    <r>
      <rPr>
        <b/>
        <sz val="12"/>
        <rFont val="Garamond"/>
        <family val="1"/>
      </rPr>
      <t xml:space="preserve"> / Actif (%)</t>
    </r>
  </si>
  <si>
    <t>TRESOR DU SENEGAL</t>
  </si>
  <si>
    <t>impact du coût du risque sur la marge op</t>
  </si>
  <si>
    <t>ACTIVITES POUR LA SANTE HUMAINE</t>
  </si>
  <si>
    <t>&lt;&lt;</t>
  </si>
  <si>
    <t>Produit net Bancaire</t>
  </si>
  <si>
    <t>CBI CI</t>
  </si>
  <si>
    <t>CBI TG</t>
  </si>
  <si>
    <t>CBI ML</t>
  </si>
  <si>
    <t>CBI SN</t>
  </si>
  <si>
    <t>CBI SA</t>
  </si>
  <si>
    <t xml:space="preserve">Niveau à respecter </t>
  </si>
  <si>
    <t>Niveau</t>
  </si>
  <si>
    <t>CBI BJ</t>
  </si>
  <si>
    <t>CBI NE</t>
  </si>
  <si>
    <t>CORIS HOLDING</t>
  </si>
  <si>
    <t>--</t>
  </si>
  <si>
    <t>RATIOS DE SOLVABILITE REGLEMENTAIRES</t>
  </si>
  <si>
    <t>RATIOS DE LIQUIDITE REGLEMENTAIRES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</si>
</sst>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&quot;$&quot;#,##0.00_);[Red]\(&quot;$&quot;#,##0.00\)"/>
    <numFmt numFmtId="165" formatCode="General_)"/>
    <numFmt numFmtId="166" formatCode="#,##0.000"/>
    <numFmt numFmtId="167" formatCode="_(* #,##0.0_);_(* \(#,##0.0\);_(* &quot;--&quot;??_);_(@_)"/>
    <numFmt numFmtId="168" formatCode="#,##0.00_ ;[Red]\-#,##0.00\ "/>
    <numFmt numFmtId="170" formatCode="0.0%"/>
    <numFmt numFmtId="171" formatCode="&quot;$&quot;0&quot; &quot;;&quot;($&quot;0&quot;)&quot;"/>
    <numFmt numFmtId="172" formatCode="#,##0;[Red]#,##0"/>
    <numFmt numFmtId="173" formatCode="_(* #,##0_);_(* \(#,##0\);_(* &quot;--&quot;??_);_(@_)"/>
    <numFmt numFmtId="174" formatCode="0.000%"/>
    <numFmt numFmtId="175" formatCode="_-* #,##0\ _€_-;\-* #,##0\ _€_-;_-* &quot;-&quot;??\ _€_-;_-@_-"/>
    <numFmt numFmtId="176" formatCode="0.0"/>
  </numFmts>
  <fonts count="46">
    <font>
      <sz val="8"/>
      <name val="Arial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10"/>
      <color rgb="FF000000"/>
      <name val="Arial1"/>
    </font>
    <font>
      <sz val="11"/>
      <name val="Garamond"/>
      <family val="1"/>
    </font>
    <font>
      <b/>
      <sz val="11"/>
      <name val="Garamond"/>
      <family val="1"/>
    </font>
    <font>
      <b/>
      <sz val="11"/>
      <color theme="0"/>
      <name val="Garamond"/>
      <family val="1"/>
    </font>
    <font>
      <i/>
      <sz val="11"/>
      <name val="Garamond"/>
      <family val="1"/>
    </font>
    <font>
      <b/>
      <i/>
      <sz val="11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i/>
      <sz val="12"/>
      <color rgb="FFFF0000"/>
      <name val="Garamond"/>
      <family val="1"/>
    </font>
    <font>
      <b/>
      <i/>
      <sz val="12"/>
      <color theme="9" tint="-0.249977111117893"/>
      <name val="Garamond"/>
      <family val="1"/>
    </font>
    <font>
      <i/>
      <sz val="12"/>
      <name val="Garamond"/>
      <family val="1"/>
    </font>
    <font>
      <sz val="12"/>
      <color rgb="FFFF0000"/>
      <name val="Garamond"/>
      <family val="1"/>
    </font>
    <font>
      <b/>
      <sz val="12"/>
      <color rgb="FFFF0000"/>
      <name val="Garamond"/>
      <family val="1"/>
    </font>
    <font>
      <sz val="11"/>
      <color indexed="0"/>
      <name val="Garamond"/>
      <family val="1"/>
    </font>
    <font>
      <b/>
      <sz val="12"/>
      <color theme="3"/>
      <name val="Garamond"/>
      <family val="1"/>
    </font>
    <font>
      <i/>
      <sz val="12"/>
      <color theme="3"/>
      <name val="Garamond"/>
      <family val="1"/>
    </font>
    <font>
      <b/>
      <sz val="12"/>
      <color theme="1"/>
      <name val="Garamond"/>
      <family val="1"/>
    </font>
    <font>
      <i/>
      <sz val="12"/>
      <color theme="1"/>
      <name val="Garamond"/>
      <family val="1"/>
    </font>
    <font>
      <b/>
      <sz val="12"/>
      <color rgb="FF00B050"/>
      <name val="Garamond"/>
      <family val="1"/>
    </font>
    <font>
      <i/>
      <sz val="12"/>
      <color rgb="FF00B050"/>
      <name val="Garamond"/>
      <family val="1"/>
    </font>
    <font>
      <b/>
      <sz val="12"/>
      <color rgb="FF7030A0"/>
      <name val="Garamond"/>
      <family val="1"/>
    </font>
    <font>
      <i/>
      <sz val="12"/>
      <color rgb="FF7030A0"/>
      <name val="Garamond"/>
      <family val="1"/>
    </font>
    <font>
      <sz val="10"/>
      <name val="Garamond"/>
      <family val="1"/>
    </font>
    <font>
      <i/>
      <sz val="10"/>
      <name val="Garamond"/>
      <family val="1"/>
    </font>
    <font>
      <b/>
      <u/>
      <sz val="12"/>
      <color theme="0"/>
      <name val="Garamond"/>
      <family val="1"/>
    </font>
    <font>
      <b/>
      <sz val="12"/>
      <color theme="0"/>
      <name val="Garamond"/>
      <family val="1"/>
    </font>
    <font>
      <b/>
      <sz val="12"/>
      <color indexed="8"/>
      <name val="Garamond"/>
      <family val="1"/>
    </font>
    <font>
      <sz val="12"/>
      <color indexed="8"/>
      <name val="Garamond"/>
      <family val="1"/>
    </font>
    <font>
      <b/>
      <i/>
      <sz val="12"/>
      <color indexed="8"/>
      <name val="Garamond"/>
      <family val="1"/>
    </font>
    <font>
      <i/>
      <sz val="12"/>
      <color theme="9" tint="-0.249977111117893"/>
      <name val="Garamond"/>
      <family val="1"/>
    </font>
    <font>
      <b/>
      <vertAlign val="superscript"/>
      <sz val="12"/>
      <name val="Garamond"/>
      <family val="1"/>
    </font>
    <font>
      <b/>
      <u/>
      <sz val="12"/>
      <name val="Garamond"/>
      <family val="1"/>
    </font>
    <font>
      <sz val="12"/>
      <color indexed="12"/>
      <name val="Garamond"/>
      <family val="1"/>
    </font>
    <font>
      <b/>
      <sz val="12"/>
      <color indexed="12"/>
      <name val="Garamond"/>
      <family val="1"/>
    </font>
    <font>
      <i/>
      <sz val="12"/>
      <color indexed="8"/>
      <name val="Garamond"/>
      <family val="1"/>
    </font>
    <font>
      <sz val="12"/>
      <color theme="1"/>
      <name val="Garamond"/>
      <family val="1"/>
    </font>
    <font>
      <b/>
      <sz val="12"/>
      <color rgb="FFC00000"/>
      <name val="Garamond"/>
      <family val="1"/>
    </font>
    <font>
      <sz val="12"/>
      <color rgb="FF000000"/>
      <name val="Calibri"/>
      <family val="2"/>
    </font>
    <font>
      <b/>
      <sz val="14"/>
      <color rgb="FFC00000"/>
      <name val="Garamond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rgb="FF000000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indexed="64"/>
      </bottom>
      <diagonal/>
    </border>
  </borders>
  <cellStyleXfs count="78">
    <xf numFmtId="0" fontId="0" fillId="0" borderId="0"/>
    <xf numFmtId="164" fontId="1" fillId="0" borderId="0" applyFont="0" applyFill="0" applyProtection="0"/>
    <xf numFmtId="0" fontId="2" fillId="0" borderId="0"/>
    <xf numFmtId="0" fontId="4" fillId="0" borderId="0"/>
    <xf numFmtId="13" fontId="1" fillId="0" borderId="0" applyFont="0" applyFill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7" fillId="0" borderId="0">
      <alignment horizontal="left" vertical="center"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 horizontal="left"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/>
  </cellStyleXfs>
  <cellXfs count="274">
    <xf numFmtId="0" fontId="0" fillId="0" borderId="0" xfId="0"/>
    <xf numFmtId="0" fontId="8" fillId="0" borderId="0" xfId="0" applyFont="1"/>
    <xf numFmtId="0" fontId="8" fillId="5" borderId="0" xfId="0" applyFont="1" applyFill="1"/>
    <xf numFmtId="0" fontId="11" fillId="0" borderId="0" xfId="0" applyFont="1"/>
    <xf numFmtId="0" fontId="8" fillId="3" borderId="0" xfId="0" applyFont="1" applyFill="1"/>
    <xf numFmtId="0" fontId="13" fillId="0" borderId="0" xfId="0" applyFont="1"/>
    <xf numFmtId="0" fontId="14" fillId="0" borderId="0" xfId="0" applyFont="1"/>
    <xf numFmtId="0" fontId="14" fillId="0" borderId="10" xfId="0" applyFont="1" applyBorder="1"/>
    <xf numFmtId="0" fontId="14" fillId="0" borderId="2" xfId="0" applyFont="1" applyBorder="1"/>
    <xf numFmtId="0" fontId="14" fillId="0" borderId="0" xfId="0" applyFont="1" applyBorder="1"/>
    <xf numFmtId="0" fontId="15" fillId="0" borderId="0" xfId="0" applyFont="1"/>
    <xf numFmtId="3" fontId="14" fillId="0" borderId="0" xfId="0" applyNumberFormat="1" applyFont="1"/>
    <xf numFmtId="0" fontId="9" fillId="0" borderId="0" xfId="0" applyFont="1"/>
    <xf numFmtId="2" fontId="14" fillId="0" borderId="0" xfId="0" applyNumberFormat="1" applyFont="1"/>
    <xf numFmtId="9" fontId="11" fillId="0" borderId="0" xfId="4" applyNumberFormat="1" applyFont="1"/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0" fontId="14" fillId="0" borderId="0" xfId="4" applyNumberFormat="1" applyFont="1"/>
    <xf numFmtId="0" fontId="14" fillId="5" borderId="0" xfId="0" applyFont="1" applyFill="1" applyAlignment="1">
      <alignment horizontal="center"/>
    </xf>
    <xf numFmtId="0" fontId="14" fillId="5" borderId="0" xfId="0" applyFont="1" applyFill="1"/>
    <xf numFmtId="0" fontId="14" fillId="0" borderId="5" xfId="0" applyFont="1" applyBorder="1"/>
    <xf numFmtId="0" fontId="13" fillId="0" borderId="0" xfId="0" applyFont="1" applyAlignment="1">
      <alignment horizontal="center"/>
    </xf>
    <xf numFmtId="0" fontId="10" fillId="6" borderId="22" xfId="0" applyFont="1" applyFill="1" applyBorder="1" applyAlignment="1">
      <alignment horizontal="center" vertical="center"/>
    </xf>
    <xf numFmtId="0" fontId="10" fillId="6" borderId="22" xfId="0" applyFont="1" applyFill="1" applyBorder="1" applyAlignment="1">
      <alignment horizontal="center" vertical="center" wrapText="1"/>
    </xf>
    <xf numFmtId="0" fontId="20" fillId="5" borderId="22" xfId="0" applyNumberFormat="1" applyFont="1" applyFill="1" applyBorder="1" applyAlignment="1">
      <alignment horizontal="left" vertical="center"/>
    </xf>
    <xf numFmtId="175" fontId="20" fillId="5" borderId="22" xfId="1" applyNumberFormat="1" applyFont="1" applyFill="1" applyBorder="1" applyAlignment="1">
      <alignment horizontal="center" vertical="center"/>
    </xf>
    <xf numFmtId="170" fontId="20" fillId="5" borderId="22" xfId="4" applyNumberFormat="1" applyFont="1" applyFill="1" applyBorder="1"/>
    <xf numFmtId="0" fontId="20" fillId="0" borderId="22" xfId="0" applyNumberFormat="1" applyFont="1" applyFill="1" applyBorder="1" applyAlignment="1">
      <alignment horizontal="left" vertical="center"/>
    </xf>
    <xf numFmtId="175" fontId="20" fillId="0" borderId="22" xfId="1" applyNumberFormat="1" applyFont="1" applyFill="1" applyBorder="1" applyAlignment="1">
      <alignment horizontal="center" vertical="center"/>
    </xf>
    <xf numFmtId="170" fontId="20" fillId="0" borderId="22" xfId="4" applyNumberFormat="1" applyFont="1" applyFill="1" applyBorder="1"/>
    <xf numFmtId="175" fontId="8" fillId="5" borderId="0" xfId="0" applyNumberFormat="1" applyFont="1" applyFill="1"/>
    <xf numFmtId="170" fontId="8" fillId="5" borderId="0" xfId="0" applyNumberFormat="1" applyFont="1" applyFill="1"/>
    <xf numFmtId="175" fontId="8" fillId="3" borderId="0" xfId="0" applyNumberFormat="1" applyFont="1" applyFill="1"/>
    <xf numFmtId="170" fontId="8" fillId="3" borderId="0" xfId="0" applyNumberFormat="1" applyFont="1" applyFill="1"/>
    <xf numFmtId="175" fontId="9" fillId="0" borderId="0" xfId="0" applyNumberFormat="1" applyFont="1"/>
    <xf numFmtId="175" fontId="8" fillId="0" borderId="0" xfId="0" applyNumberFormat="1" applyFont="1"/>
    <xf numFmtId="0" fontId="17" fillId="0" borderId="0" xfId="0" applyFont="1"/>
    <xf numFmtId="0" fontId="13" fillId="0" borderId="0" xfId="0" applyFont="1" applyAlignment="1">
      <alignment horizontal="center" wrapText="1"/>
    </xf>
    <xf numFmtId="3" fontId="14" fillId="0" borderId="22" xfId="0" applyNumberFormat="1" applyFont="1" applyBorder="1"/>
    <xf numFmtId="3" fontId="14" fillId="0" borderId="22" xfId="0" applyNumberFormat="1" applyFont="1" applyBorder="1" applyAlignment="1">
      <alignment horizontal="center"/>
    </xf>
    <xf numFmtId="9" fontId="17" fillId="0" borderId="0" xfId="0" applyNumberFormat="1" applyFont="1" applyAlignment="1">
      <alignment horizontal="center"/>
    </xf>
    <xf numFmtId="9" fontId="17" fillId="0" borderId="0" xfId="4" applyNumberFormat="1" applyFont="1" applyAlignment="1">
      <alignment horizontal="center"/>
    </xf>
    <xf numFmtId="9" fontId="14" fillId="0" borderId="0" xfId="0" applyNumberFormat="1" applyFont="1" applyAlignment="1">
      <alignment horizontal="center"/>
    </xf>
    <xf numFmtId="9" fontId="13" fillId="0" borderId="22" xfId="0" applyNumberFormat="1" applyFont="1" applyBorder="1" applyAlignment="1">
      <alignment horizontal="center"/>
    </xf>
    <xf numFmtId="9" fontId="13" fillId="0" borderId="22" xfId="4" applyNumberFormat="1" applyFont="1" applyBorder="1" applyAlignment="1">
      <alignment horizontal="center"/>
    </xf>
    <xf numFmtId="170" fontId="14" fillId="0" borderId="22" xfId="0" applyNumberFormat="1" applyFont="1" applyBorder="1" applyAlignment="1">
      <alignment horizontal="center"/>
    </xf>
    <xf numFmtId="170" fontId="13" fillId="0" borderId="22" xfId="0" applyNumberFormat="1" applyFont="1" applyBorder="1" applyAlignment="1">
      <alignment horizontal="center"/>
    </xf>
    <xf numFmtId="3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3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quotePrefix="1" applyFont="1" applyAlignment="1">
      <alignment horizontal="right"/>
    </xf>
    <xf numFmtId="0" fontId="21" fillId="0" borderId="0" xfId="0" applyFont="1"/>
    <xf numFmtId="3" fontId="21" fillId="0" borderId="0" xfId="0" applyNumberFormat="1" applyFont="1" applyAlignment="1">
      <alignment horizontal="center"/>
    </xf>
    <xf numFmtId="0" fontId="15" fillId="0" borderId="0" xfId="0" applyFont="1" applyAlignment="1">
      <alignment horizontal="right"/>
    </xf>
    <xf numFmtId="0" fontId="22" fillId="0" borderId="0" xfId="0" applyFont="1"/>
    <xf numFmtId="9" fontId="22" fillId="0" borderId="0" xfId="4" applyNumberFormat="1" applyFont="1" applyAlignment="1">
      <alignment horizontal="center"/>
    </xf>
    <xf numFmtId="0" fontId="23" fillId="0" borderId="0" xfId="0" applyFont="1"/>
    <xf numFmtId="3" fontId="23" fillId="0" borderId="0" xfId="0" applyNumberFormat="1" applyFont="1" applyAlignment="1">
      <alignment horizontal="center"/>
    </xf>
    <xf numFmtId="0" fontId="24" fillId="0" borderId="0" xfId="0" applyFont="1"/>
    <xf numFmtId="9" fontId="24" fillId="0" borderId="0" xfId="4" applyNumberFormat="1" applyFont="1" applyAlignment="1">
      <alignment horizontal="center"/>
    </xf>
    <xf numFmtId="0" fontId="25" fillId="0" borderId="0" xfId="0" applyFont="1"/>
    <xf numFmtId="3" fontId="25" fillId="0" borderId="0" xfId="0" applyNumberFormat="1" applyFont="1" applyAlignment="1">
      <alignment horizontal="center"/>
    </xf>
    <xf numFmtId="0" fontId="26" fillId="0" borderId="0" xfId="0" applyFont="1"/>
    <xf numFmtId="9" fontId="26" fillId="0" borderId="0" xfId="4" applyNumberFormat="1" applyFont="1" applyAlignment="1">
      <alignment horizontal="center"/>
    </xf>
    <xf numFmtId="0" fontId="27" fillId="0" borderId="0" xfId="0" applyFont="1"/>
    <xf numFmtId="3" fontId="27" fillId="0" borderId="0" xfId="0" applyNumberFormat="1" applyFont="1" applyAlignment="1">
      <alignment horizontal="center"/>
    </xf>
    <xf numFmtId="0" fontId="28" fillId="0" borderId="0" xfId="0" applyFont="1"/>
    <xf numFmtId="9" fontId="28" fillId="0" borderId="0" xfId="4" applyNumberFormat="1" applyFont="1" applyAlignment="1">
      <alignment horizontal="center"/>
    </xf>
    <xf numFmtId="3" fontId="13" fillId="0" borderId="22" xfId="0" applyNumberFormat="1" applyFont="1" applyBorder="1"/>
    <xf numFmtId="9" fontId="14" fillId="0" borderId="22" xfId="4" applyNumberFormat="1" applyFont="1" applyBorder="1"/>
    <xf numFmtId="9" fontId="13" fillId="0" borderId="22" xfId="0" applyNumberFormat="1" applyFont="1" applyBorder="1"/>
    <xf numFmtId="9" fontId="14" fillId="0" borderId="11" xfId="4" applyNumberFormat="1" applyFont="1" applyBorder="1"/>
    <xf numFmtId="9" fontId="14" fillId="0" borderId="12" xfId="4" applyNumberFormat="1" applyFont="1" applyBorder="1"/>
    <xf numFmtId="9" fontId="14" fillId="0" borderId="1" xfId="4" applyNumberFormat="1" applyFont="1" applyBorder="1"/>
    <xf numFmtId="9" fontId="14" fillId="0" borderId="14" xfId="4" applyNumberFormat="1" applyFont="1" applyBorder="1"/>
    <xf numFmtId="9" fontId="14" fillId="0" borderId="0" xfId="4" applyNumberFormat="1" applyFont="1" applyBorder="1"/>
    <xf numFmtId="9" fontId="14" fillId="0" borderId="13" xfId="4" applyNumberFormat="1" applyFont="1" applyBorder="1"/>
    <xf numFmtId="0" fontId="14" fillId="5" borderId="18" xfId="0" applyFont="1" applyFill="1" applyBorder="1"/>
    <xf numFmtId="1" fontId="14" fillId="5" borderId="24" xfId="0" applyNumberFormat="1" applyFont="1" applyFill="1" applyBorder="1"/>
    <xf numFmtId="1" fontId="14" fillId="5" borderId="25" xfId="0" applyNumberFormat="1" applyFont="1" applyFill="1" applyBorder="1"/>
    <xf numFmtId="0" fontId="30" fillId="0" borderId="0" xfId="0" applyFont="1" applyAlignment="1">
      <alignment vertical="center"/>
    </xf>
    <xf numFmtId="0" fontId="14" fillId="0" borderId="22" xfId="0" applyFont="1" applyBorder="1" applyAlignment="1">
      <alignment horizontal="center"/>
    </xf>
    <xf numFmtId="9" fontId="14" fillId="0" borderId="22" xfId="0" applyNumberFormat="1" applyFont="1" applyBorder="1" applyAlignment="1">
      <alignment horizontal="center"/>
    </xf>
    <xf numFmtId="9" fontId="12" fillId="0" borderId="0" xfId="0" applyNumberFormat="1" applyFont="1" applyAlignment="1">
      <alignment horizontal="center"/>
    </xf>
    <xf numFmtId="0" fontId="8" fillId="0" borderId="22" xfId="0" applyFont="1" applyBorder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5" fontId="13" fillId="2" borderId="0" xfId="2" applyNumberFormat="1" applyFont="1" applyFill="1"/>
    <xf numFmtId="166" fontId="13" fillId="2" borderId="0" xfId="2" applyNumberFormat="1" applyFont="1" applyFill="1"/>
    <xf numFmtId="0" fontId="13" fillId="2" borderId="0" xfId="2" applyFont="1" applyFill="1"/>
    <xf numFmtId="0" fontId="33" fillId="5" borderId="2" xfId="2" applyFont="1" applyFill="1" applyBorder="1"/>
    <xf numFmtId="0" fontId="33" fillId="2" borderId="2" xfId="2" quotePrefix="1" applyFont="1" applyFill="1" applyBorder="1" applyAlignment="1">
      <alignment horizontal="left"/>
    </xf>
    <xf numFmtId="172" fontId="34" fillId="2" borderId="3" xfId="2" applyNumberFormat="1" applyFont="1" applyFill="1" applyBorder="1" applyAlignment="1">
      <alignment horizontal="right"/>
    </xf>
    <xf numFmtId="0" fontId="35" fillId="2" borderId="2" xfId="2" quotePrefix="1" applyFont="1" applyFill="1" applyBorder="1" applyAlignment="1">
      <alignment horizontal="left"/>
    </xf>
    <xf numFmtId="0" fontId="13" fillId="2" borderId="2" xfId="2" quotePrefix="1" applyFont="1" applyFill="1" applyBorder="1" applyAlignment="1">
      <alignment horizontal="left"/>
    </xf>
    <xf numFmtId="0" fontId="13" fillId="3" borderId="18" xfId="2" quotePrefix="1" applyFont="1" applyFill="1" applyBorder="1" applyAlignment="1">
      <alignment horizontal="left"/>
    </xf>
    <xf numFmtId="172" fontId="33" fillId="3" borderId="19" xfId="2" applyNumberFormat="1" applyFont="1" applyFill="1" applyBorder="1" applyAlignment="1">
      <alignment horizontal="right"/>
    </xf>
    <xf numFmtId="0" fontId="13" fillId="5" borderId="2" xfId="2" applyFont="1" applyFill="1" applyBorder="1"/>
    <xf numFmtId="173" fontId="34" fillId="2" borderId="3" xfId="2" applyNumberFormat="1" applyFont="1" applyFill="1" applyBorder="1" applyAlignment="1">
      <alignment horizontal="right"/>
    </xf>
    <xf numFmtId="173" fontId="34" fillId="2" borderId="4" xfId="2" applyNumberFormat="1" applyFont="1" applyFill="1" applyBorder="1" applyAlignment="1">
      <alignment horizontal="right"/>
    </xf>
    <xf numFmtId="0" fontId="13" fillId="2" borderId="2" xfId="2" applyFont="1" applyFill="1" applyBorder="1"/>
    <xf numFmtId="173" fontId="34" fillId="2" borderId="6" xfId="2" applyNumberFormat="1" applyFont="1" applyFill="1" applyBorder="1" applyAlignment="1">
      <alignment horizontal="right"/>
    </xf>
    <xf numFmtId="173" fontId="33" fillId="3" borderId="19" xfId="2" applyNumberFormat="1" applyFont="1" applyFill="1" applyBorder="1" applyAlignment="1">
      <alignment horizontal="right"/>
    </xf>
    <xf numFmtId="173" fontId="15" fillId="2" borderId="0" xfId="2" applyNumberFormat="1" applyFont="1" applyFill="1" applyAlignment="1">
      <alignment horizontal="right"/>
    </xf>
    <xf numFmtId="0" fontId="14" fillId="2" borderId="0" xfId="2" applyFont="1" applyFill="1" applyAlignment="1">
      <alignment horizontal="right"/>
    </xf>
    <xf numFmtId="0" fontId="31" fillId="4" borderId="10" xfId="2" quotePrefix="1" applyFont="1" applyFill="1" applyBorder="1" applyAlignment="1">
      <alignment horizontal="left"/>
    </xf>
    <xf numFmtId="0" fontId="13" fillId="5" borderId="3" xfId="2" applyFont="1" applyFill="1" applyBorder="1"/>
    <xf numFmtId="173" fontId="18" fillId="2" borderId="3" xfId="2" applyNumberFormat="1" applyFont="1" applyFill="1" applyBorder="1" applyAlignment="1">
      <alignment horizontal="right"/>
    </xf>
    <xf numFmtId="173" fontId="18" fillId="2" borderId="4" xfId="2" applyNumberFormat="1" applyFont="1" applyFill="1" applyBorder="1" applyAlignment="1">
      <alignment horizontal="right"/>
    </xf>
    <xf numFmtId="173" fontId="33" fillId="3" borderId="20" xfId="2" applyNumberFormat="1" applyFont="1" applyFill="1" applyBorder="1" applyAlignment="1">
      <alignment horizontal="right"/>
    </xf>
    <xf numFmtId="173" fontId="33" fillId="2" borderId="3" xfId="2" applyNumberFormat="1" applyFont="1" applyFill="1" applyBorder="1" applyAlignment="1">
      <alignment horizontal="right"/>
    </xf>
    <xf numFmtId="173" fontId="33" fillId="2" borderId="4" xfId="2" applyNumberFormat="1" applyFont="1" applyFill="1" applyBorder="1" applyAlignment="1">
      <alignment horizontal="right"/>
    </xf>
    <xf numFmtId="173" fontId="19" fillId="3" borderId="19" xfId="2" applyNumberFormat="1" applyFont="1" applyFill="1" applyBorder="1" applyAlignment="1">
      <alignment horizontal="right"/>
    </xf>
    <xf numFmtId="173" fontId="19" fillId="3" borderId="20" xfId="2" applyNumberFormat="1" applyFont="1" applyFill="1" applyBorder="1" applyAlignment="1">
      <alignment horizontal="right"/>
    </xf>
    <xf numFmtId="0" fontId="13" fillId="5" borderId="5" xfId="2" quotePrefix="1" applyFont="1" applyFill="1" applyBorder="1" applyAlignment="1">
      <alignment horizontal="left"/>
    </xf>
    <xf numFmtId="173" fontId="33" fillId="5" borderId="6" xfId="2" applyNumberFormat="1" applyFont="1" applyFill="1" applyBorder="1" applyAlignment="1">
      <alignment horizontal="right"/>
    </xf>
    <xf numFmtId="173" fontId="33" fillId="5" borderId="7" xfId="2" applyNumberFormat="1" applyFont="1" applyFill="1" applyBorder="1" applyAlignment="1">
      <alignment horizontal="right"/>
    </xf>
    <xf numFmtId="0" fontId="16" fillId="2" borderId="0" xfId="2" applyFont="1" applyFill="1"/>
    <xf numFmtId="0" fontId="31" fillId="4" borderId="17" xfId="2" quotePrefix="1" applyFont="1" applyFill="1" applyBorder="1" applyAlignment="1">
      <alignment horizontal="left"/>
    </xf>
    <xf numFmtId="0" fontId="13" fillId="5" borderId="8" xfId="2" applyFont="1" applyFill="1" applyBorder="1"/>
    <xf numFmtId="0" fontId="33" fillId="2" borderId="8" xfId="2" quotePrefix="1" applyFont="1" applyFill="1" applyBorder="1" applyAlignment="1">
      <alignment horizontal="left"/>
    </xf>
    <xf numFmtId="168" fontId="34" fillId="2" borderId="3" xfId="2" applyNumberFormat="1" applyFont="1" applyFill="1" applyBorder="1" applyAlignment="1">
      <alignment horizontal="right"/>
    </xf>
    <xf numFmtId="168" fontId="34" fillId="2" borderId="4" xfId="2" applyNumberFormat="1" applyFont="1" applyFill="1" applyBorder="1" applyAlignment="1">
      <alignment horizontal="right"/>
    </xf>
    <xf numFmtId="0" fontId="33" fillId="5" borderId="8" xfId="2" quotePrefix="1" applyFont="1" applyFill="1" applyBorder="1" applyAlignment="1">
      <alignment horizontal="left"/>
    </xf>
    <xf numFmtId="168" fontId="34" fillId="2" borderId="6" xfId="2" applyNumberFormat="1" applyFont="1" applyFill="1" applyBorder="1" applyAlignment="1">
      <alignment horizontal="right"/>
    </xf>
    <xf numFmtId="168" fontId="34" fillId="2" borderId="7" xfId="2" applyNumberFormat="1" applyFont="1" applyFill="1" applyBorder="1" applyAlignment="1">
      <alignment horizontal="right"/>
    </xf>
    <xf numFmtId="0" fontId="13" fillId="2" borderId="8" xfId="2" quotePrefix="1" applyFont="1" applyFill="1" applyBorder="1" applyAlignment="1">
      <alignment horizontal="left"/>
    </xf>
    <xf numFmtId="0" fontId="13" fillId="5" borderId="21" xfId="2" applyFont="1" applyFill="1" applyBorder="1"/>
    <xf numFmtId="4" fontId="34" fillId="2" borderId="3" xfId="2" applyNumberFormat="1" applyFont="1" applyFill="1" applyBorder="1" applyAlignment="1">
      <alignment horizontal="right"/>
    </xf>
    <xf numFmtId="4" fontId="18" fillId="2" borderId="3" xfId="2" applyNumberFormat="1" applyFont="1" applyFill="1" applyBorder="1" applyAlignment="1">
      <alignment horizontal="right"/>
    </xf>
    <xf numFmtId="4" fontId="34" fillId="2" borderId="6" xfId="2" applyNumberFormat="1" applyFont="1" applyFill="1" applyBorder="1" applyAlignment="1">
      <alignment horizontal="right"/>
    </xf>
    <xf numFmtId="0" fontId="13" fillId="2" borderId="5" xfId="2" quotePrefix="1" applyFont="1" applyFill="1" applyBorder="1" applyAlignment="1">
      <alignment horizontal="left"/>
    </xf>
    <xf numFmtId="1" fontId="32" fillId="4" borderId="15" xfId="2" quotePrefix="1" applyNumberFormat="1" applyFont="1" applyFill="1" applyBorder="1" applyAlignment="1">
      <alignment horizontal="right"/>
    </xf>
    <xf numFmtId="1" fontId="32" fillId="4" borderId="16" xfId="2" quotePrefix="1" applyNumberFormat="1" applyFont="1" applyFill="1" applyBorder="1" applyAlignment="1">
      <alignment horizontal="right"/>
    </xf>
    <xf numFmtId="4" fontId="34" fillId="3" borderId="7" xfId="2" applyNumberFormat="1" applyFont="1" applyFill="1" applyBorder="1" applyAlignment="1">
      <alignment horizontal="right"/>
    </xf>
    <xf numFmtId="170" fontId="14" fillId="0" borderId="3" xfId="4" applyNumberFormat="1" applyFont="1" applyFill="1" applyBorder="1"/>
    <xf numFmtId="170" fontId="14" fillId="0" borderId="4" xfId="4" applyNumberFormat="1" applyFont="1" applyFill="1" applyBorder="1"/>
    <xf numFmtId="9" fontId="14" fillId="0" borderId="3" xfId="4" applyNumberFormat="1" applyFont="1" applyFill="1" applyBorder="1"/>
    <xf numFmtId="9" fontId="14" fillId="0" borderId="4" xfId="4" applyNumberFormat="1" applyFont="1" applyFill="1" applyBorder="1"/>
    <xf numFmtId="4" fontId="34" fillId="3" borderId="6" xfId="2" applyNumberFormat="1" applyFont="1" applyFill="1" applyBorder="1" applyAlignment="1">
      <alignment horizontal="right"/>
    </xf>
    <xf numFmtId="4" fontId="34" fillId="3" borderId="12" xfId="2" applyNumberFormat="1" applyFont="1" applyFill="1" applyBorder="1" applyAlignment="1">
      <alignment horizontal="right"/>
    </xf>
    <xf numFmtId="4" fontId="34" fillId="3" borderId="13" xfId="2" applyNumberFormat="1" applyFont="1" applyFill="1" applyBorder="1" applyAlignment="1">
      <alignment horizontal="right"/>
    </xf>
    <xf numFmtId="4" fontId="34" fillId="3" borderId="14" xfId="2" applyNumberFormat="1" applyFont="1" applyFill="1" applyBorder="1" applyAlignment="1">
      <alignment horizontal="right"/>
    </xf>
    <xf numFmtId="0" fontId="39" fillId="0" borderId="0" xfId="3" applyFont="1"/>
    <xf numFmtId="166" fontId="39" fillId="0" borderId="0" xfId="3" applyNumberFormat="1" applyFont="1"/>
    <xf numFmtId="0" fontId="40" fillId="0" borderId="0" xfId="3" applyFont="1"/>
    <xf numFmtId="166" fontId="40" fillId="0" borderId="0" xfId="3" applyNumberFormat="1" applyFont="1"/>
    <xf numFmtId="37" fontId="13" fillId="3" borderId="5" xfId="0" applyNumberFormat="1" applyFont="1" applyFill="1" applyBorder="1" applyAlignment="1">
      <alignment horizontal="left"/>
    </xf>
    <xf numFmtId="37" fontId="13" fillId="2" borderId="2" xfId="0" applyNumberFormat="1" applyFont="1" applyFill="1" applyBorder="1" applyAlignment="1">
      <alignment horizontal="left"/>
    </xf>
    <xf numFmtId="37" fontId="13" fillId="2" borderId="2" xfId="0" quotePrefix="1" applyNumberFormat="1" applyFont="1" applyFill="1" applyBorder="1" applyAlignment="1">
      <alignment horizontal="left"/>
    </xf>
    <xf numFmtId="37" fontId="13" fillId="0" borderId="2" xfId="0" applyNumberFormat="1" applyFont="1" applyBorder="1" applyAlignment="1">
      <alignment horizontal="left"/>
    </xf>
    <xf numFmtId="37" fontId="13" fillId="2" borderId="5" xfId="0" quotePrefix="1" applyNumberFormat="1" applyFont="1" applyFill="1" applyBorder="1" applyAlignment="1">
      <alignment horizontal="left"/>
    </xf>
    <xf numFmtId="0" fontId="14" fillId="5" borderId="4" xfId="0" applyFont="1" applyFill="1" applyBorder="1"/>
    <xf numFmtId="37" fontId="13" fillId="3" borderId="6" xfId="0" applyNumberFormat="1" applyFont="1" applyFill="1" applyBorder="1" applyAlignment="1">
      <alignment horizontal="left"/>
    </xf>
    <xf numFmtId="9" fontId="14" fillId="0" borderId="3" xfId="0" applyNumberFormat="1" applyFont="1" applyBorder="1"/>
    <xf numFmtId="9" fontId="14" fillId="0" borderId="4" xfId="0" applyNumberFormat="1" applyFont="1" applyBorder="1"/>
    <xf numFmtId="176" fontId="14" fillId="0" borderId="3" xfId="0" applyNumberFormat="1" applyFont="1" applyBorder="1"/>
    <xf numFmtId="176" fontId="14" fillId="0" borderId="4" xfId="0" applyNumberFormat="1" applyFont="1" applyBorder="1"/>
    <xf numFmtId="170" fontId="14" fillId="0" borderId="3" xfId="0" applyNumberFormat="1" applyFont="1" applyBorder="1"/>
    <xf numFmtId="170" fontId="14" fillId="0" borderId="4" xfId="0" applyNumberFormat="1" applyFont="1" applyBorder="1"/>
    <xf numFmtId="170" fontId="14" fillId="0" borderId="6" xfId="0" applyNumberFormat="1" applyFont="1" applyBorder="1"/>
    <xf numFmtId="170" fontId="14" fillId="0" borderId="7" xfId="0" applyNumberFormat="1" applyFont="1" applyBorder="1"/>
    <xf numFmtId="37" fontId="13" fillId="2" borderId="0" xfId="0" applyNumberFormat="1" applyFont="1" applyFill="1" applyAlignment="1">
      <alignment horizontal="left"/>
    </xf>
    <xf numFmtId="37" fontId="38" fillId="3" borderId="10" xfId="0" applyNumberFormat="1" applyFont="1" applyFill="1" applyBorder="1" applyAlignment="1">
      <alignment horizontal="left"/>
    </xf>
    <xf numFmtId="166" fontId="38" fillId="3" borderId="11" xfId="0" applyNumberFormat="1" applyFont="1" applyFill="1" applyBorder="1" applyAlignment="1">
      <alignment horizontal="left"/>
    </xf>
    <xf numFmtId="37" fontId="38" fillId="3" borderId="11" xfId="0" applyNumberFormat="1" applyFont="1" applyFill="1" applyBorder="1" applyAlignment="1">
      <alignment horizontal="left"/>
    </xf>
    <xf numFmtId="37" fontId="14" fillId="3" borderId="2" xfId="0" applyNumberFormat="1" applyFont="1" applyFill="1" applyBorder="1" applyAlignment="1">
      <alignment horizontal="left"/>
    </xf>
    <xf numFmtId="166" fontId="17" fillId="3" borderId="0" xfId="0" applyNumberFormat="1" applyFont="1" applyFill="1" applyAlignment="1">
      <alignment horizontal="left"/>
    </xf>
    <xf numFmtId="37" fontId="17" fillId="3" borderId="0" xfId="0" applyNumberFormat="1" applyFont="1" applyFill="1" applyAlignment="1">
      <alignment horizontal="left"/>
    </xf>
    <xf numFmtId="37" fontId="14" fillId="3" borderId="5" xfId="0" applyNumberFormat="1" applyFont="1" applyFill="1" applyBorder="1" applyAlignment="1">
      <alignment horizontal="left"/>
    </xf>
    <xf numFmtId="166" fontId="17" fillId="3" borderId="1" xfId="0" applyNumberFormat="1" applyFont="1" applyFill="1" applyBorder="1" applyAlignment="1">
      <alignment horizontal="left"/>
    </xf>
    <xf numFmtId="37" fontId="17" fillId="3" borderId="1" xfId="0" applyNumberFormat="1" applyFont="1" applyFill="1" applyBorder="1" applyAlignment="1">
      <alignment horizontal="left"/>
    </xf>
    <xf numFmtId="0" fontId="13" fillId="9" borderId="2" xfId="0" applyFont="1" applyFill="1" applyBorder="1" applyAlignment="1">
      <alignment horizontal="left"/>
    </xf>
    <xf numFmtId="0" fontId="13" fillId="9" borderId="5" xfId="0" applyFont="1" applyFill="1" applyBorder="1" applyAlignment="1">
      <alignment horizontal="left"/>
    </xf>
    <xf numFmtId="0" fontId="14" fillId="0" borderId="0" xfId="0" applyFont="1" applyFill="1"/>
    <xf numFmtId="1" fontId="32" fillId="4" borderId="15" xfId="2" applyNumberFormat="1" applyFont="1" applyFill="1" applyBorder="1" applyAlignment="1">
      <alignment horizontal="right"/>
    </xf>
    <xf numFmtId="0" fontId="14" fillId="4" borderId="0" xfId="0" applyFont="1" applyFill="1"/>
    <xf numFmtId="0" fontId="34" fillId="5" borderId="3" xfId="2" applyFont="1" applyFill="1" applyBorder="1" applyAlignment="1">
      <alignment horizontal="right"/>
    </xf>
    <xf numFmtId="0" fontId="33" fillId="2" borderId="2" xfId="0" applyFont="1" applyFill="1" applyBorder="1"/>
    <xf numFmtId="172" fontId="41" fillId="2" borderId="3" xfId="2" applyNumberFormat="1" applyFont="1" applyFill="1" applyBorder="1" applyAlignment="1">
      <alignment horizontal="right"/>
    </xf>
    <xf numFmtId="0" fontId="14" fillId="3" borderId="0" xfId="0" applyFont="1" applyFill="1"/>
    <xf numFmtId="167" fontId="34" fillId="5" borderId="3" xfId="2" applyNumberFormat="1" applyFont="1" applyFill="1" applyBorder="1" applyAlignment="1">
      <alignment horizontal="right"/>
    </xf>
    <xf numFmtId="166" fontId="14" fillId="0" borderId="3" xfId="0" applyNumberFormat="1" applyFont="1" applyBorder="1"/>
    <xf numFmtId="1" fontId="32" fillId="4" borderId="16" xfId="2" applyNumberFormat="1" applyFont="1" applyFill="1" applyBorder="1" applyAlignment="1">
      <alignment horizontal="right"/>
    </xf>
    <xf numFmtId="0" fontId="13" fillId="5" borderId="0" xfId="2" applyFont="1" applyFill="1" applyBorder="1"/>
    <xf numFmtId="0" fontId="13" fillId="5" borderId="13" xfId="2" applyFont="1" applyFill="1" applyBorder="1"/>
    <xf numFmtId="173" fontId="42" fillId="2" borderId="3" xfId="2" applyNumberFormat="1" applyFont="1" applyFill="1" applyBorder="1" applyAlignment="1">
      <alignment horizontal="right"/>
    </xf>
    <xf numFmtId="173" fontId="42" fillId="2" borderId="4" xfId="2" applyNumberFormat="1" applyFont="1" applyFill="1" applyBorder="1" applyAlignment="1">
      <alignment horizontal="right"/>
    </xf>
    <xf numFmtId="0" fontId="36" fillId="0" borderId="0" xfId="0" applyFont="1"/>
    <xf numFmtId="0" fontId="33" fillId="5" borderId="21" xfId="2" quotePrefix="1" applyFont="1" applyFill="1" applyBorder="1" applyAlignment="1">
      <alignment horizontal="left"/>
    </xf>
    <xf numFmtId="0" fontId="33" fillId="5" borderId="13" xfId="2" quotePrefix="1" applyFont="1" applyFill="1" applyBorder="1" applyAlignment="1">
      <alignment horizontal="left"/>
    </xf>
    <xf numFmtId="0" fontId="33" fillId="5" borderId="9" xfId="2" quotePrefix="1" applyFont="1" applyFill="1" applyBorder="1" applyAlignment="1">
      <alignment horizontal="left"/>
    </xf>
    <xf numFmtId="0" fontId="33" fillId="5" borderId="26" xfId="2" quotePrefix="1" applyFont="1" applyFill="1" applyBorder="1" applyAlignment="1">
      <alignment horizontal="left"/>
    </xf>
    <xf numFmtId="0" fontId="33" fillId="5" borderId="14" xfId="2" quotePrefix="1" applyFont="1" applyFill="1" applyBorder="1" applyAlignment="1">
      <alignment horizontal="left"/>
    </xf>
    <xf numFmtId="0" fontId="13" fillId="2" borderId="0" xfId="2" applyFont="1" applyFill="1" applyBorder="1"/>
    <xf numFmtId="0" fontId="13" fillId="2" borderId="5" xfId="2" applyFont="1" applyFill="1" applyBorder="1"/>
    <xf numFmtId="0" fontId="13" fillId="2" borderId="1" xfId="2" applyFont="1" applyFill="1" applyBorder="1"/>
    <xf numFmtId="4" fontId="34" fillId="2" borderId="4" xfId="2" applyNumberFormat="1" applyFont="1" applyFill="1" applyBorder="1" applyAlignment="1">
      <alignment horizontal="right"/>
    </xf>
    <xf numFmtId="4" fontId="18" fillId="2" borderId="4" xfId="2" applyNumberFormat="1" applyFont="1" applyFill="1" applyBorder="1" applyAlignment="1">
      <alignment horizontal="right"/>
    </xf>
    <xf numFmtId="4" fontId="34" fillId="2" borderId="7" xfId="2" applyNumberFormat="1" applyFont="1" applyFill="1" applyBorder="1" applyAlignment="1">
      <alignment horizontal="right"/>
    </xf>
    <xf numFmtId="4" fontId="34" fillId="2" borderId="0" xfId="2" applyNumberFormat="1" applyFont="1" applyFill="1" applyBorder="1" applyAlignment="1">
      <alignment horizontal="right"/>
    </xf>
    <xf numFmtId="166" fontId="14" fillId="0" borderId="0" xfId="0" applyNumberFormat="1" applyFont="1"/>
    <xf numFmtId="0" fontId="13" fillId="0" borderId="0" xfId="0" applyFont="1" applyBorder="1" applyAlignment="1">
      <alignment vertical="center"/>
    </xf>
    <xf numFmtId="9" fontId="13" fillId="0" borderId="0" xfId="0" applyNumberFormat="1" applyFont="1" applyBorder="1"/>
    <xf numFmtId="9" fontId="14" fillId="0" borderId="22" xfId="4" applyNumberFormat="1" applyFont="1" applyBorder="1" applyAlignment="1">
      <alignment horizontal="center"/>
    </xf>
    <xf numFmtId="9" fontId="20" fillId="5" borderId="22" xfId="4" applyNumberFormat="1" applyFont="1" applyFill="1" applyBorder="1"/>
    <xf numFmtId="9" fontId="20" fillId="0" borderId="22" xfId="4" applyNumberFormat="1" applyFont="1" applyFill="1" applyBorder="1"/>
    <xf numFmtId="9" fontId="8" fillId="5" borderId="0" xfId="0" applyNumberFormat="1" applyFont="1" applyFill="1"/>
    <xf numFmtId="0" fontId="13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1" fontId="14" fillId="0" borderId="0" xfId="0" applyNumberFormat="1" applyFont="1"/>
    <xf numFmtId="3" fontId="14" fillId="0" borderId="11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3" fontId="14" fillId="0" borderId="1" xfId="0" applyNumberFormat="1" applyFont="1" applyBorder="1" applyAlignment="1">
      <alignment horizontal="center"/>
    </xf>
    <xf numFmtId="0" fontId="13" fillId="0" borderId="18" xfId="0" applyFont="1" applyBorder="1"/>
    <xf numFmtId="3" fontId="13" fillId="0" borderId="24" xfId="0" applyNumberFormat="1" applyFont="1" applyBorder="1" applyAlignment="1">
      <alignment horizontal="center"/>
    </xf>
    <xf numFmtId="0" fontId="21" fillId="0" borderId="18" xfId="0" applyFont="1" applyBorder="1"/>
    <xf numFmtId="3" fontId="21" fillId="0" borderId="24" xfId="0" applyNumberFormat="1" applyFont="1" applyBorder="1" applyAlignment="1">
      <alignment horizontal="center"/>
    </xf>
    <xf numFmtId="0" fontId="23" fillId="0" borderId="18" xfId="0" applyFont="1" applyBorder="1"/>
    <xf numFmtId="3" fontId="23" fillId="0" borderId="24" xfId="0" applyNumberFormat="1" applyFont="1" applyBorder="1" applyAlignment="1">
      <alignment horizontal="center"/>
    </xf>
    <xf numFmtId="0" fontId="25" fillId="0" borderId="18" xfId="0" applyFont="1" applyBorder="1"/>
    <xf numFmtId="3" fontId="25" fillId="0" borderId="24" xfId="0" applyNumberFormat="1" applyFont="1" applyBorder="1" applyAlignment="1">
      <alignment horizontal="center"/>
    </xf>
    <xf numFmtId="0" fontId="27" fillId="0" borderId="18" xfId="0" applyFont="1" applyBorder="1"/>
    <xf numFmtId="3" fontId="27" fillId="0" borderId="24" xfId="0" applyNumberFormat="1" applyFont="1" applyBorder="1" applyAlignment="1">
      <alignment horizontal="center"/>
    </xf>
    <xf numFmtId="37" fontId="14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3" fontId="15" fillId="0" borderId="0" xfId="0" applyNumberFormat="1" applyFont="1" applyAlignment="1">
      <alignment horizontal="center"/>
    </xf>
    <xf numFmtId="0" fontId="34" fillId="5" borderId="4" xfId="2" applyFont="1" applyFill="1" applyBorder="1" applyAlignment="1">
      <alignment horizontal="right"/>
    </xf>
    <xf numFmtId="172" fontId="34" fillId="2" borderId="4" xfId="2" applyNumberFormat="1" applyFont="1" applyFill="1" applyBorder="1" applyAlignment="1">
      <alignment horizontal="right"/>
    </xf>
    <xf numFmtId="172" fontId="41" fillId="2" borderId="4" xfId="2" applyNumberFormat="1" applyFont="1" applyFill="1" applyBorder="1" applyAlignment="1">
      <alignment horizontal="right"/>
    </xf>
    <xf numFmtId="172" fontId="33" fillId="3" borderId="20" xfId="2" applyNumberFormat="1" applyFont="1" applyFill="1" applyBorder="1" applyAlignment="1">
      <alignment horizontal="right"/>
    </xf>
    <xf numFmtId="167" fontId="34" fillId="5" borderId="4" xfId="2" applyNumberFormat="1" applyFont="1" applyFill="1" applyBorder="1" applyAlignment="1">
      <alignment horizontal="right"/>
    </xf>
    <xf numFmtId="10" fontId="9" fillId="0" borderId="22" xfId="4" applyNumberFormat="1" applyFont="1" applyBorder="1" applyAlignment="1">
      <alignment horizontal="center"/>
    </xf>
    <xf numFmtId="0" fontId="14" fillId="0" borderId="0" xfId="77" applyFont="1"/>
    <xf numFmtId="0" fontId="32" fillId="6" borderId="22" xfId="77" applyFont="1" applyFill="1" applyBorder="1" applyAlignment="1">
      <alignment vertical="center"/>
    </xf>
    <xf numFmtId="0" fontId="32" fillId="6" borderId="22" xfId="77" applyFont="1" applyFill="1" applyBorder="1" applyAlignment="1">
      <alignment horizontal="center" vertical="center" wrapText="1"/>
    </xf>
    <xf numFmtId="0" fontId="14" fillId="3" borderId="22" xfId="77" applyFont="1" applyFill="1" applyBorder="1"/>
    <xf numFmtId="0" fontId="8" fillId="3" borderId="22" xfId="77" applyFont="1" applyFill="1" applyBorder="1" applyAlignment="1">
      <alignment horizontal="center" vertical="center"/>
    </xf>
    <xf numFmtId="0" fontId="9" fillId="3" borderId="22" xfId="77" applyFont="1" applyFill="1" applyBorder="1" applyAlignment="1">
      <alignment horizontal="center" vertical="center"/>
    </xf>
    <xf numFmtId="0" fontId="14" fillId="0" borderId="22" xfId="77" applyFont="1" applyBorder="1"/>
    <xf numFmtId="10" fontId="8" fillId="0" borderId="22" xfId="77" applyNumberFormat="1" applyFont="1" applyBorder="1" applyAlignment="1">
      <alignment horizontal="center" vertical="center"/>
    </xf>
    <xf numFmtId="10" fontId="9" fillId="0" borderId="22" xfId="77" applyNumberFormat="1" applyFont="1" applyBorder="1" applyAlignment="1">
      <alignment horizontal="center" vertical="center"/>
    </xf>
    <xf numFmtId="0" fontId="29" fillId="8" borderId="22" xfId="77" applyFont="1" applyFill="1" applyBorder="1" applyAlignment="1">
      <alignment horizontal="center" vertical="center"/>
    </xf>
    <xf numFmtId="174" fontId="8" fillId="0" borderId="22" xfId="77" applyNumberFormat="1" applyFont="1" applyBorder="1" applyAlignment="1">
      <alignment horizontal="center" vertical="center"/>
    </xf>
    <xf numFmtId="0" fontId="29" fillId="3" borderId="22" xfId="77" applyFont="1" applyFill="1" applyBorder="1" applyAlignment="1">
      <alignment horizontal="center" vertical="center"/>
    </xf>
    <xf numFmtId="9" fontId="8" fillId="0" borderId="22" xfId="77" applyNumberFormat="1" applyFont="1" applyBorder="1" applyAlignment="1">
      <alignment horizontal="center" vertical="center"/>
    </xf>
    <xf numFmtId="0" fontId="14" fillId="0" borderId="0" xfId="77" applyFont="1" applyAlignment="1">
      <alignment horizontal="center"/>
    </xf>
    <xf numFmtId="0" fontId="14" fillId="0" borderId="22" xfId="77" applyFont="1" applyBorder="1" applyAlignment="1">
      <alignment wrapText="1"/>
    </xf>
    <xf numFmtId="9" fontId="9" fillId="0" borderId="22" xfId="77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8" fillId="0" borderId="23" xfId="0" applyFont="1" applyBorder="1" applyAlignment="1">
      <alignment wrapText="1"/>
    </xf>
    <xf numFmtId="9" fontId="14" fillId="0" borderId="23" xfId="0" applyNumberFormat="1" applyFont="1" applyBorder="1" applyAlignment="1">
      <alignment horizontal="center" vertical="center"/>
    </xf>
    <xf numFmtId="0" fontId="44" fillId="0" borderId="0" xfId="0" applyFont="1"/>
    <xf numFmtId="9" fontId="14" fillId="0" borderId="25" xfId="0" applyNumberFormat="1" applyFont="1" applyFill="1" applyBorder="1" applyAlignment="1">
      <alignment horizontal="center"/>
    </xf>
    <xf numFmtId="9" fontId="14" fillId="0" borderId="14" xfId="0" applyNumberFormat="1" applyFont="1" applyFill="1" applyBorder="1" applyAlignment="1">
      <alignment horizontal="center" vertical="center"/>
    </xf>
    <xf numFmtId="0" fontId="44" fillId="0" borderId="0" xfId="0" applyFont="1" applyFill="1"/>
    <xf numFmtId="0" fontId="13" fillId="0" borderId="0" xfId="0" applyFont="1" applyFill="1" applyAlignment="1">
      <alignment horizontal="center"/>
    </xf>
    <xf numFmtId="170" fontId="14" fillId="0" borderId="25" xfId="0" applyNumberFormat="1" applyFont="1" applyFill="1" applyBorder="1" applyAlignment="1">
      <alignment horizontal="center"/>
    </xf>
    <xf numFmtId="170" fontId="14" fillId="0" borderId="14" xfId="0" applyNumberFormat="1" applyFont="1" applyFill="1" applyBorder="1" applyAlignment="1">
      <alignment horizontal="center" vertical="center"/>
    </xf>
    <xf numFmtId="0" fontId="32" fillId="7" borderId="18" xfId="77" applyFont="1" applyFill="1" applyBorder="1" applyAlignment="1">
      <alignment horizontal="center"/>
    </xf>
    <xf numFmtId="0" fontId="32" fillId="7" borderId="24" xfId="77" applyFont="1" applyFill="1" applyBorder="1" applyAlignment="1">
      <alignment horizontal="center"/>
    </xf>
    <xf numFmtId="0" fontId="32" fillId="7" borderId="25" xfId="77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5" fontId="45" fillId="2" borderId="0" xfId="2" applyNumberFormat="1" applyFont="1" applyFill="1"/>
    <xf numFmtId="0" fontId="14" fillId="2" borderId="0" xfId="0" applyFont="1" applyFill="1"/>
    <xf numFmtId="0" fontId="17" fillId="2" borderId="0" xfId="0" applyFont="1" applyFill="1"/>
    <xf numFmtId="0" fontId="36" fillId="2" borderId="0" xfId="0" applyFont="1" applyFill="1"/>
    <xf numFmtId="0" fontId="43" fillId="0" borderId="0" xfId="77" applyFont="1"/>
  </cellXfs>
  <cellStyles count="78">
    <cellStyle name="Lien hypertexte" xfId="5" builtinId="8" hidden="1"/>
    <cellStyle name="Lien hypertexte" xfId="7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 visité" xfId="6" builtinId="9" hidden="1"/>
    <cellStyle name="Lien hypertexte visité" xfId="8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Milliers" xfId="1" builtinId="3"/>
    <cellStyle name="Monétaire 2" xfId="9" xr:uid="{00000000-0005-0000-0000-000047000000}"/>
    <cellStyle name="Normal" xfId="0" builtinId="0"/>
    <cellStyle name="Normal 2" xfId="77" xr:uid="{57F5BBD4-DA11-0341-846A-E871B6B2907C}"/>
    <cellStyle name="Normal 2 2" xfId="52" xr:uid="{00000000-0005-0000-0000-000049000000}"/>
    <cellStyle name="Normal_MODEL_DDB" xfId="2" xr:uid="{00000000-0005-0000-0000-00004A000000}"/>
    <cellStyle name="Normal_SEK" xfId="3" xr:uid="{00000000-0005-0000-0000-00004C000000}"/>
    <cellStyle name="Pourcentage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r>
              <a:rPr lang="fr-FR"/>
              <a:t>EVOLUTION DE L'ACTIVITE DE CBI CI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'Evo Activité'!$C$20</c:f>
              <c:strCache>
                <c:ptCount val="1"/>
                <c:pt idx="0">
                  <c:v>Produit Net Bancaire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7777777777777801E-3"/>
                  <c:y val="7.82177748614756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E44-B742-8FF3-99F2FE317F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'Evo Activité'!$D$18:$I$18</c:f>
              <c:numCache>
                <c:formatCode>General</c:formatCode>
                <c:ptCount val="6"/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'Evo Activité'!$D$20:$I$20</c:f>
              <c:numCache>
                <c:formatCode>#,##0</c:formatCode>
                <c:ptCount val="6"/>
                <c:pt idx="3">
                  <c:v>13700</c:v>
                </c:pt>
                <c:pt idx="4">
                  <c:v>18565</c:v>
                </c:pt>
                <c:pt idx="5">
                  <c:v>28170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44-B742-8FF3-99F2FE317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90874592"/>
        <c:axId val="-590876912"/>
      </c:barChart>
      <c:lineChart>
        <c:grouping val="stacked"/>
        <c:varyColors val="0"/>
        <c:ser>
          <c:idx val="0"/>
          <c:order val="0"/>
          <c:tx>
            <c:strRef>
              <c:f>'Evo Activité'!$C$19</c:f>
              <c:strCache>
                <c:ptCount val="1"/>
                <c:pt idx="0">
                  <c:v>Nombre de Clients 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5.3159886264216999E-2"/>
                  <c:y val="-6.94444444444444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E44-B742-8FF3-99F2FE317F09}"/>
                </c:ext>
              </c:extLst>
            </c:dLbl>
            <c:dLbl>
              <c:idx val="1"/>
              <c:layout>
                <c:manualLayout>
                  <c:x val="-6.2270997375328097E-2"/>
                  <c:y val="-4.62962962962963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E44-B742-8FF3-99F2FE317F09}"/>
                </c:ext>
              </c:extLst>
            </c:dLbl>
            <c:dLbl>
              <c:idx val="2"/>
              <c:layout>
                <c:manualLayout>
                  <c:x val="-6.2270997375328097E-2"/>
                  <c:y val="-5.0925925925925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E44-B742-8FF3-99F2FE317F09}"/>
                </c:ext>
              </c:extLst>
            </c:dLbl>
            <c:dLbl>
              <c:idx val="3"/>
              <c:layout>
                <c:manualLayout>
                  <c:x val="-6.2270997375328201E-2"/>
                  <c:y val="-4.62962962962963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E44-B742-8FF3-99F2FE317F09}"/>
                </c:ext>
              </c:extLst>
            </c:dLbl>
            <c:dLbl>
              <c:idx val="4"/>
              <c:layout>
                <c:manualLayout>
                  <c:x val="-6.2270997375328097E-2"/>
                  <c:y val="-3.70370370370370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E44-B742-8FF3-99F2FE317F09}"/>
                </c:ext>
              </c:extLst>
            </c:dLbl>
            <c:dLbl>
              <c:idx val="5"/>
              <c:layout>
                <c:manualLayout>
                  <c:x val="-5.9493219597550398E-2"/>
                  <c:y val="-5.55555555555556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E44-B742-8FF3-99F2FE317F09}"/>
                </c:ext>
              </c:extLst>
            </c:dLbl>
            <c:dLbl>
              <c:idx val="6"/>
              <c:layout>
                <c:manualLayout>
                  <c:x val="-4.9234011882316374E-2"/>
                  <c:y val="-3.4081205583735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89-AB42-BA17-9847A70CB4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'Evo Activité'!$D$18:$I$18</c:f>
              <c:numCache>
                <c:formatCode>General</c:formatCode>
                <c:ptCount val="6"/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'Evo Activité'!$D$19:$I$19</c:f>
              <c:numCache>
                <c:formatCode>#,##0</c:formatCode>
                <c:ptCount val="6"/>
                <c:pt idx="3">
                  <c:v>34483</c:v>
                </c:pt>
                <c:pt idx="4">
                  <c:v>40734</c:v>
                </c:pt>
                <c:pt idx="5">
                  <c:v>47297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E44-B742-8FF3-99F2FE317F0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590882064"/>
        <c:axId val="-590879232"/>
      </c:lineChart>
      <c:catAx>
        <c:axId val="-590882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fr-FR"/>
          </a:p>
        </c:txPr>
        <c:crossAx val="-590879232"/>
        <c:crosses val="autoZero"/>
        <c:auto val="1"/>
        <c:lblAlgn val="ctr"/>
        <c:lblOffset val="100"/>
        <c:noMultiLvlLbl val="0"/>
      </c:catAx>
      <c:valAx>
        <c:axId val="-59087923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fr-FR"/>
          </a:p>
        </c:txPr>
        <c:crossAx val="-590882064"/>
        <c:crosses val="autoZero"/>
        <c:crossBetween val="between"/>
      </c:valAx>
      <c:valAx>
        <c:axId val="-590876912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fr-FR"/>
          </a:p>
        </c:txPr>
        <c:crossAx val="-590874592"/>
        <c:crosses val="max"/>
        <c:crossBetween val="between"/>
      </c:valAx>
      <c:catAx>
        <c:axId val="-590874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5908769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fr-FR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fr-FR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Garamond" panose="02020404030301010803" pitchFamily="18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fr-FR"/>
              <a:t>Evolution des niveaux de rentabilité sur 3 ans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'Analyse renta'!$H$20</c:f>
              <c:strCache>
                <c:ptCount val="1"/>
                <c:pt idx="0">
                  <c:v>Produit Net Bancaire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1.0935844823289744E-2"/>
                  <c:y val="-3.05367087038436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F69-7049-92DB-099C6E77F340}"/>
                </c:ext>
              </c:extLst>
            </c:dLbl>
            <c:dLbl>
              <c:idx val="2"/>
              <c:layout>
                <c:manualLayout>
                  <c:x val="0"/>
                  <c:y val="1.3687974010094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F69-7049-92DB-099C6E77F3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'Analyse renta'!$I$19:$K$19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'Analyse renta'!$I$20:$K$20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3E-7A4C-8147-840D6872A59C}"/>
            </c:ext>
          </c:extLst>
        </c:ser>
        <c:ser>
          <c:idx val="2"/>
          <c:order val="1"/>
          <c:tx>
            <c:strRef>
              <c:f>'Analyse renta'!$H$21</c:f>
              <c:strCache>
                <c:ptCount val="1"/>
                <c:pt idx="0">
                  <c:v>Résultat Net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0541254764803131E-3"/>
                  <c:y val="3.23284079080922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D3E-7A4C-8147-840D6872A59C}"/>
                </c:ext>
              </c:extLst>
            </c:dLbl>
            <c:dLbl>
              <c:idx val="1"/>
              <c:layout>
                <c:manualLayout>
                  <c:x val="-1.2745397417050777E-3"/>
                  <c:y val="1.853346292000591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D3E-7A4C-8147-840D6872A59C}"/>
                </c:ext>
              </c:extLst>
            </c:dLbl>
            <c:dLbl>
              <c:idx val="2"/>
              <c:layout>
                <c:manualLayout>
                  <c:x val="8.3193992642797401E-4"/>
                  <c:y val="-9.4464255797812495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D3E-7A4C-8147-840D6872A5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'Analyse renta'!$I$19:$K$19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'Analyse renta'!$I$21:$K$21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D3E-7A4C-8147-840D6872A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590819616"/>
        <c:axId val="-590817136"/>
      </c:barChart>
      <c:catAx>
        <c:axId val="-59081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100" b="1"/>
            </a:pPr>
            <a:endParaRPr lang="fr-FR"/>
          </a:p>
        </c:txPr>
        <c:crossAx val="-590817136"/>
        <c:crosses val="autoZero"/>
        <c:auto val="1"/>
        <c:lblAlgn val="ctr"/>
        <c:lblOffset val="100"/>
        <c:noMultiLvlLbl val="0"/>
      </c:catAx>
      <c:valAx>
        <c:axId val="-590817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-5908196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Garamond" charset="0"/>
          <a:ea typeface="Garamond" charset="0"/>
          <a:cs typeface="Garamond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Garamond" charset="0"/>
                <a:ea typeface="Garamond" charset="0"/>
                <a:cs typeface="Garamond" charset="0"/>
              </a:defRPr>
            </a:pPr>
            <a:r>
              <a:rPr lang="fr-FR"/>
              <a:t>En part du passif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Garamond" charset="0"/>
              <a:ea typeface="Garamond" charset="0"/>
              <a:cs typeface="Garamond" charset="0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'Analyse renta'!$H$73</c:f>
              <c:strCache>
                <c:ptCount val="1"/>
                <c:pt idx="0">
                  <c:v>Dépôts de la clientèle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lt1"/>
                    </a:solidFill>
                    <a:latin typeface="Garamond" charset="0"/>
                    <a:ea typeface="Garamond" charset="0"/>
                    <a:cs typeface="Garamond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'Analyse renta'!$I$72:$K$72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'Analyse renta'!$I$73:$K$73</c:f>
              <c:numCache>
                <c:formatCode>0%</c:formatCode>
                <c:ptCount val="3"/>
                <c:pt idx="0">
                  <c:v>0.61153146142990911</c:v>
                </c:pt>
                <c:pt idx="1">
                  <c:v>0.58228328390493533</c:v>
                </c:pt>
                <c:pt idx="2">
                  <c:v>0.59763415455289781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57-244F-B2D1-FEDFD7F8EDF7}"/>
            </c:ext>
          </c:extLst>
        </c:ser>
        <c:ser>
          <c:idx val="1"/>
          <c:order val="1"/>
          <c:tx>
            <c:strRef>
              <c:f>'Analyse renta'!$H$74</c:f>
              <c:strCache>
                <c:ptCount val="1"/>
                <c:pt idx="0">
                  <c:v>Dettes interbancaires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lt1"/>
                    </a:solidFill>
                    <a:latin typeface="Garamond" charset="0"/>
                    <a:ea typeface="Garamond" charset="0"/>
                    <a:cs typeface="Garamond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'Analyse renta'!$I$72:$K$72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'Analyse renta'!$I$74:$K$74</c:f>
              <c:numCache>
                <c:formatCode>0%</c:formatCode>
                <c:ptCount val="3"/>
                <c:pt idx="0">
                  <c:v>0.2485090276037614</c:v>
                </c:pt>
                <c:pt idx="1">
                  <c:v>0.27766544460425124</c:v>
                </c:pt>
                <c:pt idx="2">
                  <c:v>0.27578594238381438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57-244F-B2D1-FEDFD7F8EDF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590784560"/>
        <c:axId val="-590781808"/>
      </c:barChart>
      <c:catAx>
        <c:axId val="-590784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Garamond" charset="0"/>
                <a:ea typeface="Garamond" charset="0"/>
                <a:cs typeface="Garamond" charset="0"/>
              </a:defRPr>
            </a:pPr>
            <a:endParaRPr lang="fr-FR"/>
          </a:p>
        </c:txPr>
        <c:crossAx val="-590781808"/>
        <c:crosses val="autoZero"/>
        <c:auto val="1"/>
        <c:lblAlgn val="ctr"/>
        <c:lblOffset val="100"/>
        <c:noMultiLvlLbl val="0"/>
      </c:catAx>
      <c:valAx>
        <c:axId val="-59078180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590784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Garamond" charset="0"/>
              <a:ea typeface="Garamond" charset="0"/>
              <a:cs typeface="Garamond" charset="0"/>
            </a:defRPr>
          </a:pPr>
          <a:endParaRPr lang="fr-F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latin typeface="Garamond" charset="0"/>
          <a:ea typeface="Garamond" charset="0"/>
          <a:cs typeface="Garamond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Garamond" charset="0"/>
                <a:ea typeface="Garamond" charset="0"/>
                <a:cs typeface="Garamond" charset="0"/>
              </a:defRPr>
            </a:pPr>
            <a:r>
              <a:rPr lang="fr-FR"/>
              <a:t>En part de l'actif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Garamond" charset="0"/>
              <a:ea typeface="Garamond" charset="0"/>
              <a:cs typeface="Garamond" charset="0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'Analyse renta'!$H$77</c:f>
              <c:strCache>
                <c:ptCount val="1"/>
                <c:pt idx="0">
                  <c:v>Créances brutes sur la clientèle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lt1"/>
                    </a:solidFill>
                    <a:latin typeface="Garamond" charset="0"/>
                    <a:ea typeface="Garamond" charset="0"/>
                    <a:cs typeface="Garamond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'Analyse renta'!$I$76:$K$76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'Analyse renta'!$I$77:$K$77</c:f>
              <c:numCache>
                <c:formatCode>0%</c:formatCode>
                <c:ptCount val="3"/>
                <c:pt idx="0">
                  <c:v>0.5537547973570025</c:v>
                </c:pt>
                <c:pt idx="1">
                  <c:v>0.55865602321107843</c:v>
                </c:pt>
                <c:pt idx="2">
                  <c:v>0.59389999940236304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5D-9248-B85F-1982F4378C7B}"/>
            </c:ext>
          </c:extLst>
        </c:ser>
        <c:ser>
          <c:idx val="1"/>
          <c:order val="1"/>
          <c:tx>
            <c:strRef>
              <c:f>'Analyse renta'!$H$78</c:f>
              <c:strCache>
                <c:ptCount val="1"/>
                <c:pt idx="0">
                  <c:v>Créances interbancaires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Garamond" charset="0"/>
                    <a:ea typeface="Garamond" charset="0"/>
                    <a:cs typeface="Garamond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'Analyse renta'!$I$76:$K$76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'Analyse renta'!$I$78:$K$78</c:f>
              <c:numCache>
                <c:formatCode>0%</c:formatCode>
                <c:ptCount val="3"/>
                <c:pt idx="0">
                  <c:v>5.10972923783021E-2</c:v>
                </c:pt>
                <c:pt idx="1">
                  <c:v>5.5965702258896716E-2</c:v>
                </c:pt>
                <c:pt idx="2">
                  <c:v>4.8728925827278939E-2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5D-9248-B85F-1982F4378C7B}"/>
            </c:ext>
          </c:extLst>
        </c:ser>
        <c:ser>
          <c:idx val="2"/>
          <c:order val="2"/>
          <c:tx>
            <c:strRef>
              <c:f>'Analyse renta'!$H$79</c:f>
              <c:strCache>
                <c:ptCount val="1"/>
                <c:pt idx="0">
                  <c:v>Titres de placement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Garamond" charset="0"/>
                    <a:ea typeface="Garamond" charset="0"/>
                    <a:cs typeface="Garamond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'Analyse renta'!$I$76:$K$76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'Analyse renta'!$I$79:$K$79</c:f>
              <c:numCache>
                <c:formatCode>0%</c:formatCode>
                <c:ptCount val="3"/>
                <c:pt idx="0">
                  <c:v>0.29089260514619575</c:v>
                </c:pt>
                <c:pt idx="1">
                  <c:v>0.30252233466349504</c:v>
                </c:pt>
                <c:pt idx="2">
                  <c:v>0.28540949087308781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5D-9248-B85F-1982F4378C7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590747984"/>
        <c:axId val="-590744720"/>
      </c:barChart>
      <c:catAx>
        <c:axId val="-59074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Garamond" charset="0"/>
                <a:ea typeface="Garamond" charset="0"/>
                <a:cs typeface="Garamond" charset="0"/>
              </a:defRPr>
            </a:pPr>
            <a:endParaRPr lang="fr-FR"/>
          </a:p>
        </c:txPr>
        <c:crossAx val="-590744720"/>
        <c:crosses val="autoZero"/>
        <c:auto val="1"/>
        <c:lblAlgn val="ctr"/>
        <c:lblOffset val="100"/>
        <c:noMultiLvlLbl val="0"/>
      </c:catAx>
      <c:valAx>
        <c:axId val="-59074472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590747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Garamond" charset="0"/>
              <a:ea typeface="Garamond" charset="0"/>
              <a:cs typeface="Garamond" charset="0"/>
            </a:defRPr>
          </a:pPr>
          <a:endParaRPr lang="fr-F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latin typeface="Garamond" charset="0"/>
          <a:ea typeface="Garamond" charset="0"/>
          <a:cs typeface="Garamond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trlProps/ctrlProp1.xml><?xml version="1.0" encoding="utf-8"?>
<formControlPr xmlns="http://schemas.microsoft.com/office/spreadsheetml/2009/9/main" objectType="Label" lockText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1485900</xdr:colOff>
          <xdr:row>0</xdr:row>
          <xdr:rowOff>0</xdr:rowOff>
        </xdr:to>
        <xdr:sp macro="" textlink="">
          <xdr:nvSpPr>
            <xdr:cNvPr id="1168" name="LBL_UPDATED_GRAPHS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3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456141</xdr:colOff>
      <xdr:row>1</xdr:row>
      <xdr:rowOff>83606</xdr:rowOff>
    </xdr:from>
    <xdr:to>
      <xdr:col>20</xdr:col>
      <xdr:colOff>433916</xdr:colOff>
      <xdr:row>21</xdr:row>
      <xdr:rowOff>169333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310573</xdr:colOff>
      <xdr:row>5</xdr:row>
      <xdr:rowOff>31751</xdr:rowOff>
    </xdr:from>
    <xdr:to>
      <xdr:col>26</xdr:col>
      <xdr:colOff>232833</xdr:colOff>
      <xdr:row>22</xdr:row>
      <xdr:rowOff>123537</xdr:rowOff>
    </xdr:to>
    <xdr:graphicFrame macro="">
      <xdr:nvGraphicFramePr>
        <xdr:cNvPr id="2082" name="Graphique 2">
          <a:extLst>
            <a:ext uri="{FF2B5EF4-FFF2-40B4-BE49-F238E27FC236}">
              <a16:creationId xmlns:a16="http://schemas.microsoft.com/office/drawing/2014/main" id="{00000000-0008-0000-1200-00002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540954</xdr:colOff>
      <xdr:row>9</xdr:row>
      <xdr:rowOff>113140</xdr:rowOff>
    </xdr:from>
    <xdr:to>
      <xdr:col>21</xdr:col>
      <xdr:colOff>525753</xdr:colOff>
      <xdr:row>9</xdr:row>
      <xdr:rowOff>397437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 txBox="1"/>
      </xdr:nvSpPr>
      <xdr:spPr>
        <a:xfrm>
          <a:off x="13907704" y="1922890"/>
          <a:ext cx="1085466" cy="2842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 b="1">
              <a:solidFill>
                <a:schemeClr val="tx2"/>
              </a:solidFill>
              <a:latin typeface="Garamond" charset="0"/>
              <a:ea typeface="Garamond" charset="0"/>
              <a:cs typeface="Garamond" charset="0"/>
            </a:rPr>
            <a:t>PNB : +105% </a:t>
          </a:r>
        </a:p>
      </xdr:txBody>
    </xdr:sp>
    <xdr:clientData/>
  </xdr:twoCellAnchor>
  <xdr:twoCellAnchor>
    <xdr:from>
      <xdr:col>21</xdr:col>
      <xdr:colOff>142238</xdr:colOff>
      <xdr:row>13</xdr:row>
      <xdr:rowOff>66268</xdr:rowOff>
    </xdr:from>
    <xdr:to>
      <xdr:col>23</xdr:col>
      <xdr:colOff>103417</xdr:colOff>
      <xdr:row>14</xdr:row>
      <xdr:rowOff>88719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 txBox="1"/>
      </xdr:nvSpPr>
      <xdr:spPr>
        <a:xfrm>
          <a:off x="14609655" y="2913185"/>
          <a:ext cx="1061845" cy="2235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 b="1">
              <a:solidFill>
                <a:schemeClr val="accent3">
                  <a:lumMod val="50000"/>
                </a:schemeClr>
              </a:solidFill>
              <a:latin typeface="Garamond" charset="0"/>
              <a:ea typeface="Garamond" charset="0"/>
              <a:cs typeface="Garamond" charset="0"/>
            </a:rPr>
            <a:t>RN : +196% </a:t>
          </a:r>
        </a:p>
      </xdr:txBody>
    </xdr:sp>
    <xdr:clientData/>
  </xdr:twoCellAnchor>
  <xdr:twoCellAnchor>
    <xdr:from>
      <xdr:col>11</xdr:col>
      <xdr:colOff>139700</xdr:colOff>
      <xdr:row>40</xdr:row>
      <xdr:rowOff>0</xdr:rowOff>
    </xdr:from>
    <xdr:to>
      <xdr:col>11</xdr:col>
      <xdr:colOff>596900</xdr:colOff>
      <xdr:row>51</xdr:row>
      <xdr:rowOff>152400</xdr:rowOff>
    </xdr:to>
    <xdr:sp macro="" textlink="">
      <xdr:nvSpPr>
        <xdr:cNvPr id="2" name="Accolade fermant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 bwMode="auto">
        <a:xfrm>
          <a:off x="8813800" y="16179800"/>
          <a:ext cx="457200" cy="2057400"/>
        </a:xfrm>
        <a:prstGeom prst="rightBrace">
          <a:avLst/>
        </a:prstGeom>
        <a:solidFill>
          <a:srgbClr val="FFFFFF"/>
        </a:solidFill>
        <a:ln w="9525" cap="flat" cmpd="sng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12</xdr:col>
      <xdr:colOff>152400</xdr:colOff>
      <xdr:row>43</xdr:row>
      <xdr:rowOff>165100</xdr:rowOff>
    </xdr:from>
    <xdr:to>
      <xdr:col>14</xdr:col>
      <xdr:colOff>406400</xdr:colOff>
      <xdr:row>47</xdr:row>
      <xdr:rowOff>88900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 txBox="1"/>
      </xdr:nvSpPr>
      <xdr:spPr>
        <a:xfrm>
          <a:off x="9550400" y="16916400"/>
          <a:ext cx="1168400" cy="685800"/>
        </a:xfrm>
        <a:prstGeom prst="rect">
          <a:avLst/>
        </a:prstGeom>
        <a:solidFill>
          <a:schemeClr val="lt1"/>
        </a:solidFill>
        <a:ln w="9525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>
              <a:solidFill>
                <a:schemeClr val="tx2"/>
              </a:solidFill>
              <a:latin typeface="Garamond" charset="0"/>
              <a:ea typeface="Garamond" charset="0"/>
              <a:cs typeface="Garamond" charset="0"/>
            </a:rPr>
            <a:t>1.</a:t>
          </a:r>
          <a:r>
            <a:rPr lang="fr-FR" sz="1100" baseline="0">
              <a:solidFill>
                <a:schemeClr val="tx2"/>
              </a:solidFill>
              <a:latin typeface="Garamond" charset="0"/>
              <a:ea typeface="Garamond" charset="0"/>
              <a:cs typeface="Garamond" charset="0"/>
            </a:rPr>
            <a:t> Marge d'intemédiation confortable</a:t>
          </a:r>
          <a:endParaRPr lang="fr-FR" sz="1100">
            <a:solidFill>
              <a:schemeClr val="tx2"/>
            </a:solidFill>
            <a:latin typeface="Garamond" charset="0"/>
            <a:ea typeface="Garamond" charset="0"/>
            <a:cs typeface="Garamond" charset="0"/>
          </a:endParaRPr>
        </a:p>
      </xdr:txBody>
    </xdr:sp>
    <xdr:clientData/>
  </xdr:twoCellAnchor>
  <xdr:twoCellAnchor>
    <xdr:from>
      <xdr:col>11</xdr:col>
      <xdr:colOff>139700</xdr:colOff>
      <xdr:row>58</xdr:row>
      <xdr:rowOff>127000</xdr:rowOff>
    </xdr:from>
    <xdr:to>
      <xdr:col>11</xdr:col>
      <xdr:colOff>495300</xdr:colOff>
      <xdr:row>62</xdr:row>
      <xdr:rowOff>165100</xdr:rowOff>
    </xdr:to>
    <xdr:sp macro="" textlink="">
      <xdr:nvSpPr>
        <xdr:cNvPr id="10" name="Accolade fermante 9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/>
      </xdr:nvSpPr>
      <xdr:spPr bwMode="auto">
        <a:xfrm>
          <a:off x="8813800" y="19735800"/>
          <a:ext cx="355600" cy="800100"/>
        </a:xfrm>
        <a:prstGeom prst="rightBrace">
          <a:avLst/>
        </a:prstGeom>
        <a:solidFill>
          <a:srgbClr val="FFFFFF"/>
        </a:solidFill>
        <a:ln w="9525" cap="flat" cmpd="sng" algn="ctr">
          <a:solidFill>
            <a:srgbClr val="00B05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12</xdr:col>
      <xdr:colOff>177800</xdr:colOff>
      <xdr:row>59</xdr:row>
      <xdr:rowOff>88900</xdr:rowOff>
    </xdr:from>
    <xdr:to>
      <xdr:col>14</xdr:col>
      <xdr:colOff>419100</xdr:colOff>
      <xdr:row>62</xdr:row>
      <xdr:rowOff>50800</xdr:rowOff>
    </xdr:to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 txBox="1"/>
      </xdr:nvSpPr>
      <xdr:spPr>
        <a:xfrm>
          <a:off x="9740900" y="12484100"/>
          <a:ext cx="1155700" cy="571500"/>
        </a:xfrm>
        <a:prstGeom prst="rect">
          <a:avLst/>
        </a:prstGeom>
        <a:solidFill>
          <a:schemeClr val="lt1"/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>
              <a:solidFill>
                <a:srgbClr val="00B050"/>
              </a:solidFill>
              <a:latin typeface="Garamond" charset="0"/>
              <a:ea typeface="Garamond" charset="0"/>
              <a:cs typeface="Garamond" charset="0"/>
            </a:rPr>
            <a:t>2.</a:t>
          </a:r>
          <a:r>
            <a:rPr lang="fr-FR" sz="1100" baseline="0">
              <a:solidFill>
                <a:srgbClr val="00B050"/>
              </a:solidFill>
              <a:latin typeface="Garamond" charset="0"/>
              <a:ea typeface="Garamond" charset="0"/>
              <a:cs typeface="Garamond" charset="0"/>
            </a:rPr>
            <a:t> Très bonne        efficience opérationnelle</a:t>
          </a:r>
          <a:endParaRPr lang="fr-FR" sz="1100">
            <a:solidFill>
              <a:srgbClr val="00B050"/>
            </a:solidFill>
            <a:latin typeface="Garamond" charset="0"/>
            <a:ea typeface="Garamond" charset="0"/>
            <a:cs typeface="Garamond" charset="0"/>
          </a:endParaRPr>
        </a:p>
      </xdr:txBody>
    </xdr:sp>
    <xdr:clientData/>
  </xdr:twoCellAnchor>
  <xdr:twoCellAnchor>
    <xdr:from>
      <xdr:col>11</xdr:col>
      <xdr:colOff>152400</xdr:colOff>
      <xdr:row>63</xdr:row>
      <xdr:rowOff>152400</xdr:rowOff>
    </xdr:from>
    <xdr:to>
      <xdr:col>11</xdr:col>
      <xdr:colOff>508000</xdr:colOff>
      <xdr:row>67</xdr:row>
      <xdr:rowOff>177800</xdr:rowOff>
    </xdr:to>
    <xdr:sp macro="" textlink="">
      <xdr:nvSpPr>
        <xdr:cNvPr id="12" name="Accolade fermante 11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SpPr/>
      </xdr:nvSpPr>
      <xdr:spPr bwMode="auto">
        <a:xfrm>
          <a:off x="8826500" y="20523200"/>
          <a:ext cx="355600" cy="787400"/>
        </a:xfrm>
        <a:prstGeom prst="rightBrace">
          <a:avLst/>
        </a:prstGeom>
        <a:solidFill>
          <a:srgbClr val="FFFFFF"/>
        </a:solidFill>
        <a:ln w="9525" cap="flat" cmpd="sng" algn="ctr">
          <a:solidFill>
            <a:srgbClr val="7030A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12</xdr:col>
      <xdr:colOff>88900</xdr:colOff>
      <xdr:row>66</xdr:row>
      <xdr:rowOff>114300</xdr:rowOff>
    </xdr:from>
    <xdr:to>
      <xdr:col>15</xdr:col>
      <xdr:colOff>12700</xdr:colOff>
      <xdr:row>69</xdr:row>
      <xdr:rowOff>105834</xdr:rowOff>
    </xdr:to>
    <xdr:sp macro="" textlink="">
      <xdr:nvSpPr>
        <xdr:cNvPr id="8" name="ZoneTexte 7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SpPr txBox="1"/>
      </xdr:nvSpPr>
      <xdr:spPr>
        <a:xfrm>
          <a:off x="8873067" y="13618633"/>
          <a:ext cx="1543050" cy="5947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i="1">
              <a:latin typeface="Garamond" charset="0"/>
              <a:ea typeface="Garamond" charset="0"/>
              <a:cs typeface="Garamond" charset="0"/>
            </a:rPr>
            <a:t>attention : niveau de provisionnement insuffisant selon WARA</a:t>
          </a:r>
        </a:p>
      </xdr:txBody>
    </xdr:sp>
    <xdr:clientData/>
  </xdr:twoCellAnchor>
  <xdr:twoCellAnchor>
    <xdr:from>
      <xdr:col>12</xdr:col>
      <xdr:colOff>139700</xdr:colOff>
      <xdr:row>63</xdr:row>
      <xdr:rowOff>165100</xdr:rowOff>
    </xdr:from>
    <xdr:to>
      <xdr:col>14</xdr:col>
      <xdr:colOff>393700</xdr:colOff>
      <xdr:row>66</xdr:row>
      <xdr:rowOff>63500</xdr:rowOff>
    </xdr:to>
    <xdr:sp macro="" textlink="">
      <xdr:nvSpPr>
        <xdr:cNvPr id="13" name="ZoneTexte 12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SpPr txBox="1"/>
      </xdr:nvSpPr>
      <xdr:spPr>
        <a:xfrm>
          <a:off x="9004300" y="20726400"/>
          <a:ext cx="1168400" cy="469900"/>
        </a:xfrm>
        <a:prstGeom prst="rect">
          <a:avLst/>
        </a:prstGeom>
        <a:solidFill>
          <a:schemeClr val="lt1"/>
        </a:solidFill>
        <a:ln w="952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>
              <a:solidFill>
                <a:srgbClr val="7030A0"/>
              </a:solidFill>
              <a:latin typeface="Garamond" charset="0"/>
              <a:ea typeface="Garamond" charset="0"/>
              <a:cs typeface="Garamond" charset="0"/>
            </a:rPr>
            <a:t>3.</a:t>
          </a:r>
          <a:r>
            <a:rPr lang="fr-FR" sz="1100" baseline="0">
              <a:solidFill>
                <a:srgbClr val="7030A0"/>
              </a:solidFill>
              <a:latin typeface="Garamond" charset="0"/>
              <a:ea typeface="Garamond" charset="0"/>
              <a:cs typeface="Garamond" charset="0"/>
            </a:rPr>
            <a:t> Coût du risque en amélioration</a:t>
          </a:r>
          <a:endParaRPr lang="fr-FR" sz="1100">
            <a:solidFill>
              <a:srgbClr val="7030A0"/>
            </a:solidFill>
            <a:latin typeface="Garamond" charset="0"/>
            <a:ea typeface="Garamond" charset="0"/>
            <a:cs typeface="Garamond" charset="0"/>
          </a:endParaRPr>
        </a:p>
      </xdr:txBody>
    </xdr:sp>
    <xdr:clientData/>
  </xdr:twoCellAnchor>
  <xdr:twoCellAnchor>
    <xdr:from>
      <xdr:col>12</xdr:col>
      <xdr:colOff>330200</xdr:colOff>
      <xdr:row>71</xdr:row>
      <xdr:rowOff>196850</xdr:rowOff>
    </xdr:from>
    <xdr:to>
      <xdr:col>20</xdr:col>
      <xdr:colOff>495300</xdr:colOff>
      <xdr:row>85</xdr:row>
      <xdr:rowOff>95250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110066</xdr:colOff>
      <xdr:row>71</xdr:row>
      <xdr:rowOff>186267</xdr:rowOff>
    </xdr:from>
    <xdr:to>
      <xdr:col>31</xdr:col>
      <xdr:colOff>313266</xdr:colOff>
      <xdr:row>85</xdr:row>
      <xdr:rowOff>84667</xdr:rowOff>
    </xdr:to>
    <xdr:graphicFrame macro="">
      <xdr:nvGraphicFramePr>
        <xdr:cNvPr id="16" name="Graphique 15"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105833</xdr:colOff>
      <xdr:row>9</xdr:row>
      <xdr:rowOff>116417</xdr:rowOff>
    </xdr:from>
    <xdr:to>
      <xdr:col>23</xdr:col>
      <xdr:colOff>402167</xdr:colOff>
      <xdr:row>12</xdr:row>
      <xdr:rowOff>148167</xdr:rowOff>
    </xdr:to>
    <xdr:cxnSp macro="">
      <xdr:nvCxnSpPr>
        <xdr:cNvPr id="14" name="Connecteur droit avec flèche 13">
          <a:extLst>
            <a:ext uri="{FF2B5EF4-FFF2-40B4-BE49-F238E27FC236}">
              <a16:creationId xmlns:a16="http://schemas.microsoft.com/office/drawing/2014/main" id="{00000000-0008-0000-1200-00000E000000}"/>
            </a:ext>
          </a:extLst>
        </xdr:cNvPr>
        <xdr:cNvCxnSpPr/>
      </xdr:nvCxnSpPr>
      <xdr:spPr bwMode="auto">
        <a:xfrm flipV="1">
          <a:off x="12922250" y="1926167"/>
          <a:ext cx="3048000" cy="867833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chemeClr val="tx2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18</xdr:col>
      <xdr:colOff>300567</xdr:colOff>
      <xdr:row>13</xdr:row>
      <xdr:rowOff>105833</xdr:rowOff>
    </xdr:from>
    <xdr:to>
      <xdr:col>24</xdr:col>
      <xdr:colOff>296333</xdr:colOff>
      <xdr:row>17</xdr:row>
      <xdr:rowOff>131233</xdr:rowOff>
    </xdr:to>
    <xdr:cxnSp macro="">
      <xdr:nvCxnSpPr>
        <xdr:cNvPr id="18" name="Connecteur droit avec flèche 17">
          <a:extLst>
            <a:ext uri="{FF2B5EF4-FFF2-40B4-BE49-F238E27FC236}">
              <a16:creationId xmlns:a16="http://schemas.microsoft.com/office/drawing/2014/main" id="{00000000-0008-0000-1200-000012000000}"/>
            </a:ext>
          </a:extLst>
        </xdr:cNvPr>
        <xdr:cNvCxnSpPr/>
      </xdr:nvCxnSpPr>
      <xdr:spPr bwMode="auto">
        <a:xfrm flipV="1">
          <a:off x="13116984" y="2952750"/>
          <a:ext cx="3297766" cy="829733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chemeClr val="accent3">
              <a:lumMod val="50000"/>
            </a:schemeClr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mzahaji/Desktop/WARA%2010.11.2020/Notations%202020/CBI%20BF/production%20analytique/post%20comite&#769;/CBI%20Spreads%20au%2031-12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EAD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J44"/>
  <sheetViews>
    <sheetView showGridLines="0" zoomScale="140" zoomScaleNormal="140" workbookViewId="0">
      <selection activeCell="C48" sqref="C48"/>
    </sheetView>
  </sheetViews>
  <sheetFormatPr baseColWidth="10" defaultColWidth="10.6640625" defaultRowHeight="15.75"/>
  <cols>
    <col min="1" max="2" width="15" style="6" customWidth="1"/>
    <col min="3" max="3" width="55.5" style="6" bestFit="1" customWidth="1"/>
    <col min="4" max="4" width="15" style="6" hidden="1" customWidth="1"/>
    <col min="5" max="9" width="15" style="6" customWidth="1"/>
    <col min="10" max="10" width="15" style="9" customWidth="1"/>
    <col min="11" max="14" width="15" style="6" customWidth="1"/>
    <col min="15" max="16384" width="10.6640625" style="6"/>
  </cols>
  <sheetData>
    <row r="2" spans="2:10">
      <c r="D2" s="212">
        <v>2013</v>
      </c>
      <c r="E2" s="212">
        <v>2014</v>
      </c>
      <c r="F2" s="212">
        <v>2015</v>
      </c>
      <c r="G2" s="212">
        <v>2016</v>
      </c>
      <c r="H2" s="212">
        <v>2017</v>
      </c>
      <c r="I2" s="212">
        <v>2018</v>
      </c>
      <c r="J2" s="212">
        <v>2019</v>
      </c>
    </row>
    <row r="3" spans="2:10">
      <c r="C3" s="7" t="s">
        <v>90</v>
      </c>
      <c r="D3" s="215"/>
      <c r="E3" s="215"/>
      <c r="F3" s="215"/>
      <c r="G3" s="215"/>
      <c r="H3" s="215"/>
      <c r="I3" s="215"/>
      <c r="J3" s="215"/>
    </row>
    <row r="4" spans="2:10">
      <c r="C4" s="8" t="s">
        <v>91</v>
      </c>
      <c r="D4" s="216"/>
      <c r="E4" s="216"/>
      <c r="F4" s="216"/>
      <c r="G4" s="216"/>
      <c r="H4" s="216"/>
      <c r="I4" s="216"/>
      <c r="J4" s="216"/>
    </row>
    <row r="5" spans="2:10">
      <c r="B5" s="49"/>
      <c r="C5" s="21" t="s">
        <v>95</v>
      </c>
      <c r="D5" s="217"/>
      <c r="E5" s="217"/>
      <c r="F5" s="217"/>
      <c r="G5" s="217"/>
      <c r="H5" s="217"/>
      <c r="I5" s="217"/>
      <c r="J5" s="217"/>
    </row>
    <row r="6" spans="2:10">
      <c r="B6" s="50" t="s">
        <v>106</v>
      </c>
      <c r="C6" s="218" t="s">
        <v>107</v>
      </c>
      <c r="D6" s="219"/>
      <c r="E6" s="219"/>
      <c r="F6" s="219"/>
      <c r="G6" s="219"/>
      <c r="H6" s="219">
        <f>SUM(H3:H5)</f>
        <v>0</v>
      </c>
      <c r="I6" s="219">
        <f>SUM(I3:I5)</f>
        <v>0</v>
      </c>
      <c r="J6" s="219">
        <f>SUM(J3:J5)</f>
        <v>0</v>
      </c>
    </row>
    <row r="7" spans="2:10">
      <c r="B7" s="49"/>
      <c r="G7" s="52"/>
      <c r="H7" s="52"/>
      <c r="I7" s="52"/>
      <c r="J7" s="52"/>
    </row>
    <row r="8" spans="2:10">
      <c r="B8" s="49"/>
      <c r="C8" s="7" t="s">
        <v>92</v>
      </c>
      <c r="D8" s="215"/>
      <c r="E8" s="215"/>
      <c r="F8" s="215"/>
      <c r="G8" s="215"/>
      <c r="H8" s="215"/>
      <c r="I8" s="215"/>
      <c r="J8" s="215"/>
    </row>
    <row r="9" spans="2:10">
      <c r="B9" s="49"/>
      <c r="C9" s="8" t="s">
        <v>93</v>
      </c>
      <c r="D9" s="216"/>
      <c r="E9" s="216"/>
      <c r="F9" s="216"/>
      <c r="G9" s="216"/>
      <c r="H9" s="216"/>
      <c r="I9" s="216"/>
      <c r="J9" s="216"/>
    </row>
    <row r="10" spans="2:10">
      <c r="B10" s="49"/>
      <c r="C10" s="8" t="s">
        <v>94</v>
      </c>
      <c r="D10" s="216"/>
      <c r="E10" s="216"/>
      <c r="F10" s="216"/>
      <c r="G10" s="216"/>
      <c r="H10" s="216"/>
      <c r="I10" s="216"/>
      <c r="J10" s="216"/>
    </row>
    <row r="11" spans="2:10">
      <c r="B11" s="50" t="s">
        <v>108</v>
      </c>
      <c r="C11" s="218" t="s">
        <v>109</v>
      </c>
      <c r="D11" s="219"/>
      <c r="E11" s="219"/>
      <c r="F11" s="219"/>
      <c r="G11" s="219"/>
      <c r="H11" s="219">
        <f>SUM(H8:H10)</f>
        <v>0</v>
      </c>
      <c r="I11" s="219">
        <f>SUM(I8:I10)</f>
        <v>0</v>
      </c>
      <c r="J11" s="219">
        <f>SUM(J8:J10)</f>
        <v>0</v>
      </c>
    </row>
    <row r="12" spans="2:10">
      <c r="B12" s="49"/>
      <c r="G12" s="52"/>
      <c r="H12" s="52"/>
      <c r="I12" s="52"/>
      <c r="J12" s="52"/>
    </row>
    <row r="13" spans="2:10">
      <c r="B13" s="53" t="s">
        <v>110</v>
      </c>
      <c r="C13" s="220" t="s">
        <v>97</v>
      </c>
      <c r="D13" s="221"/>
      <c r="E13" s="221"/>
      <c r="F13" s="221"/>
      <c r="G13" s="221"/>
      <c r="H13" s="221">
        <f>H6-H11</f>
        <v>0</v>
      </c>
      <c r="I13" s="221">
        <f>I6-I11</f>
        <v>0</v>
      </c>
      <c r="J13" s="221">
        <f>J6-J11</f>
        <v>0</v>
      </c>
    </row>
    <row r="14" spans="2:10">
      <c r="B14" s="56" t="s">
        <v>116</v>
      </c>
      <c r="C14" s="57" t="s">
        <v>98</v>
      </c>
      <c r="D14" s="58"/>
      <c r="E14" s="58"/>
      <c r="F14" s="58"/>
      <c r="G14" s="58"/>
      <c r="H14" s="58" t="e">
        <f>H13/H6</f>
        <v>#DIV/0!</v>
      </c>
      <c r="I14" s="58" t="e">
        <f>I13/I6</f>
        <v>#DIV/0!</v>
      </c>
      <c r="J14" s="58" t="e">
        <f>J13/J6</f>
        <v>#DIV/0!</v>
      </c>
    </row>
    <row r="15" spans="2:10">
      <c r="B15" s="49"/>
      <c r="D15" s="52"/>
      <c r="E15" s="52"/>
      <c r="F15" s="52"/>
      <c r="G15" s="52"/>
      <c r="H15" s="52"/>
      <c r="I15" s="52"/>
      <c r="J15" s="52"/>
    </row>
    <row r="16" spans="2:10">
      <c r="B16" s="49" t="s">
        <v>111</v>
      </c>
      <c r="C16" s="6" t="s">
        <v>96</v>
      </c>
      <c r="D16" s="48"/>
      <c r="E16" s="48"/>
      <c r="F16" s="48"/>
      <c r="G16" s="48"/>
      <c r="H16" s="48"/>
      <c r="I16" s="48"/>
      <c r="J16" s="48"/>
    </row>
    <row r="17" spans="2:10">
      <c r="B17" s="49" t="s">
        <v>112</v>
      </c>
      <c r="C17" s="6" t="s">
        <v>135</v>
      </c>
      <c r="D17" s="48"/>
      <c r="E17" s="48"/>
      <c r="F17" s="48"/>
      <c r="G17" s="48"/>
      <c r="H17" s="48"/>
      <c r="I17" s="48"/>
      <c r="J17" s="48"/>
    </row>
    <row r="18" spans="2:10">
      <c r="B18" s="49" t="s">
        <v>142</v>
      </c>
      <c r="C18" s="6" t="s">
        <v>152</v>
      </c>
      <c r="D18" s="48"/>
      <c r="E18" s="48"/>
      <c r="F18" s="48"/>
      <c r="G18" s="48"/>
      <c r="H18" s="48"/>
      <c r="I18" s="48"/>
      <c r="J18" s="48"/>
    </row>
    <row r="19" spans="2:10">
      <c r="B19" s="49"/>
      <c r="D19" s="52"/>
      <c r="E19" s="52"/>
      <c r="F19" s="52"/>
      <c r="G19" s="52"/>
      <c r="H19" s="52"/>
      <c r="I19" s="52"/>
      <c r="J19" s="52"/>
    </row>
    <row r="20" spans="2:10">
      <c r="B20" s="50" t="s">
        <v>143</v>
      </c>
      <c r="C20" s="222" t="s">
        <v>100</v>
      </c>
      <c r="D20" s="223"/>
      <c r="E20" s="223"/>
      <c r="F20" s="223"/>
      <c r="G20" s="223"/>
      <c r="H20" s="223">
        <f>H13+SUM(H16:H18)</f>
        <v>0</v>
      </c>
      <c r="I20" s="223">
        <f>I13+SUM(I16:I18)</f>
        <v>0</v>
      </c>
      <c r="J20" s="223">
        <f>J13+SUM(J16:J18)</f>
        <v>0</v>
      </c>
    </row>
    <row r="21" spans="2:10">
      <c r="B21" s="56" t="s">
        <v>144</v>
      </c>
      <c r="C21" s="61" t="s">
        <v>105</v>
      </c>
      <c r="D21" s="62"/>
      <c r="E21" s="62"/>
      <c r="F21" s="62"/>
      <c r="G21" s="62"/>
      <c r="H21" s="62" t="e">
        <f>H20/(H6+H16+H17+H18)</f>
        <v>#DIV/0!</v>
      </c>
      <c r="I21" s="62" t="e">
        <f>I20/(I6+I16+I17+I18)</f>
        <v>#DIV/0!</v>
      </c>
      <c r="J21" s="62" t="e">
        <f>J20/(J6+J16+J17+J18)</f>
        <v>#DIV/0!</v>
      </c>
    </row>
    <row r="22" spans="2:10">
      <c r="J22" s="6"/>
    </row>
    <row r="23" spans="2:10">
      <c r="B23" s="49" t="s">
        <v>145</v>
      </c>
      <c r="C23" s="6" t="s">
        <v>23</v>
      </c>
      <c r="D23" s="48"/>
      <c r="E23" s="48"/>
      <c r="F23" s="48"/>
      <c r="G23" s="48"/>
      <c r="H23" s="48"/>
      <c r="I23" s="48"/>
      <c r="J23" s="48"/>
    </row>
    <row r="24" spans="2:10">
      <c r="B24" s="49" t="s">
        <v>119</v>
      </c>
      <c r="C24" s="6" t="s">
        <v>136</v>
      </c>
      <c r="D24" s="48"/>
      <c r="E24" s="48"/>
      <c r="F24" s="48"/>
      <c r="G24" s="48"/>
      <c r="H24" s="48"/>
      <c r="I24" s="48"/>
      <c r="J24" s="48"/>
    </row>
    <row r="25" spans="2:10">
      <c r="B25" s="49" t="s">
        <v>146</v>
      </c>
      <c r="C25" s="6" t="s">
        <v>137</v>
      </c>
      <c r="D25" s="52"/>
      <c r="E25" s="48"/>
      <c r="F25" s="48"/>
      <c r="G25" s="52"/>
      <c r="H25" s="48"/>
      <c r="I25" s="48"/>
      <c r="J25" s="48"/>
    </row>
    <row r="26" spans="2:10">
      <c r="D26" s="52"/>
      <c r="E26" s="52"/>
      <c r="F26" s="52"/>
      <c r="G26" s="52"/>
      <c r="H26" s="52"/>
      <c r="I26" s="52"/>
      <c r="J26" s="52"/>
    </row>
    <row r="27" spans="2:10">
      <c r="B27" s="6" t="s">
        <v>147</v>
      </c>
      <c r="C27" s="224" t="s">
        <v>102</v>
      </c>
      <c r="D27" s="225"/>
      <c r="E27" s="225"/>
      <c r="F27" s="225"/>
      <c r="G27" s="225"/>
      <c r="H27" s="225">
        <f>H20-SUM(H23:H25)</f>
        <v>0</v>
      </c>
      <c r="I27" s="225">
        <f>I20-SUM(I23:I25)</f>
        <v>0</v>
      </c>
      <c r="J27" s="225">
        <f>J20-SUM(J23:J25)</f>
        <v>0</v>
      </c>
    </row>
    <row r="28" spans="2:10">
      <c r="B28" s="56" t="s">
        <v>148</v>
      </c>
      <c r="C28" s="65" t="s">
        <v>102</v>
      </c>
      <c r="D28" s="66"/>
      <c r="E28" s="66"/>
      <c r="F28" s="66"/>
      <c r="G28" s="66"/>
      <c r="H28" s="66" t="e">
        <f>H27/(H6+H16+H18)</f>
        <v>#DIV/0!</v>
      </c>
      <c r="I28" s="66" t="e">
        <f>I27/(I6+I16+I18)</f>
        <v>#DIV/0!</v>
      </c>
      <c r="J28" s="66" t="e">
        <f>J27/(J6+J16+J18)</f>
        <v>#DIV/0!</v>
      </c>
    </row>
    <row r="29" spans="2:10">
      <c r="D29" s="52"/>
      <c r="E29" s="52"/>
      <c r="F29" s="52"/>
      <c r="G29" s="52"/>
      <c r="H29" s="52"/>
      <c r="I29" s="52"/>
      <c r="J29" s="52"/>
    </row>
    <row r="30" spans="2:10">
      <c r="B30" s="49" t="s">
        <v>149</v>
      </c>
      <c r="C30" s="6" t="s">
        <v>103</v>
      </c>
      <c r="D30" s="48"/>
      <c r="E30" s="48"/>
      <c r="F30" s="48"/>
      <c r="G30" s="48"/>
      <c r="H30" s="48"/>
      <c r="I30" s="48"/>
      <c r="J30" s="48"/>
    </row>
    <row r="31" spans="2:10">
      <c r="J31" s="6"/>
    </row>
    <row r="32" spans="2:10">
      <c r="B32" s="49" t="s">
        <v>150</v>
      </c>
      <c r="C32" s="226" t="s">
        <v>104</v>
      </c>
      <c r="D32" s="227"/>
      <c r="E32" s="227"/>
      <c r="F32" s="227"/>
      <c r="G32" s="227"/>
      <c r="H32" s="227">
        <f>H27-H30</f>
        <v>0</v>
      </c>
      <c r="I32" s="227">
        <f>I27-I30</f>
        <v>0</v>
      </c>
      <c r="J32" s="227">
        <f>J27-J30</f>
        <v>0</v>
      </c>
    </row>
    <row r="33" spans="2:10">
      <c r="B33" s="56" t="s">
        <v>151</v>
      </c>
      <c r="C33" s="69" t="s">
        <v>104</v>
      </c>
      <c r="D33" s="70"/>
      <c r="E33" s="70"/>
      <c r="F33" s="70"/>
      <c r="G33" s="70"/>
      <c r="H33" s="70" t="e">
        <f>H32/(H6+H16+H18)</f>
        <v>#DIV/0!</v>
      </c>
      <c r="I33" s="70" t="e">
        <f>I32/(I6+I16+I18)</f>
        <v>#DIV/0!</v>
      </c>
      <c r="J33" s="70" t="e">
        <f>J32/(J6+J16+J18)</f>
        <v>#DIV/0!</v>
      </c>
    </row>
    <row r="34" spans="2:10">
      <c r="J34" s="6"/>
    </row>
    <row r="35" spans="2:10">
      <c r="B35" s="49" t="s">
        <v>153</v>
      </c>
      <c r="C35" s="6" t="s">
        <v>134</v>
      </c>
      <c r="D35" s="52"/>
      <c r="E35" s="52"/>
      <c r="F35" s="48"/>
      <c r="G35" s="48"/>
      <c r="H35" s="48"/>
      <c r="I35" s="48"/>
      <c r="J35" s="48"/>
    </row>
    <row r="36" spans="2:10">
      <c r="B36" s="49"/>
      <c r="J36" s="6"/>
    </row>
    <row r="37" spans="2:10">
      <c r="B37" s="49" t="s">
        <v>154</v>
      </c>
      <c r="C37" s="6" t="s">
        <v>138</v>
      </c>
      <c r="D37" s="60"/>
      <c r="E37" s="60"/>
      <c r="F37" s="60"/>
      <c r="G37" s="60"/>
      <c r="H37" s="60">
        <f>H32+H35</f>
        <v>0</v>
      </c>
      <c r="I37" s="60">
        <f>I32+I35</f>
        <v>0</v>
      </c>
      <c r="J37" s="60">
        <f>J32+J35</f>
        <v>0</v>
      </c>
    </row>
    <row r="38" spans="2:10">
      <c r="B38" s="49"/>
      <c r="J38" s="6"/>
    </row>
    <row r="39" spans="2:10">
      <c r="B39" s="49" t="s">
        <v>155</v>
      </c>
      <c r="C39" s="6" t="s">
        <v>139</v>
      </c>
      <c r="D39" s="52"/>
      <c r="E39" s="52"/>
      <c r="F39" s="48"/>
      <c r="G39" s="48"/>
      <c r="H39" s="48"/>
      <c r="I39" s="48"/>
      <c r="J39" s="48"/>
    </row>
    <row r="40" spans="2:10">
      <c r="B40" s="49"/>
      <c r="J40" s="6"/>
    </row>
    <row r="41" spans="2:10" s="5" customFormat="1">
      <c r="B41" s="50" t="s">
        <v>156</v>
      </c>
      <c r="C41" s="218" t="s">
        <v>82</v>
      </c>
      <c r="D41" s="219"/>
      <c r="E41" s="219"/>
      <c r="F41" s="219"/>
      <c r="G41" s="219"/>
      <c r="H41" s="219">
        <f>H37-H39</f>
        <v>0</v>
      </c>
      <c r="I41" s="219">
        <f>I37-I39</f>
        <v>0</v>
      </c>
      <c r="J41" s="219">
        <f>J37-J39</f>
        <v>0</v>
      </c>
    </row>
    <row r="42" spans="2:10">
      <c r="J42" s="6"/>
    </row>
    <row r="43" spans="2:10">
      <c r="C43" s="6" t="s">
        <v>140</v>
      </c>
      <c r="D43" s="228"/>
      <c r="E43" s="228"/>
      <c r="F43" s="228"/>
      <c r="G43" s="228"/>
      <c r="H43" s="228">
        <v>5071</v>
      </c>
      <c r="I43" s="228">
        <v>7625</v>
      </c>
      <c r="J43" s="228">
        <v>15021</v>
      </c>
    </row>
    <row r="44" spans="2:10" s="229" customFormat="1">
      <c r="C44" s="230" t="s">
        <v>141</v>
      </c>
      <c r="D44" s="231"/>
      <c r="E44" s="231"/>
      <c r="F44" s="231"/>
      <c r="G44" s="231"/>
      <c r="H44" s="231">
        <f>H41-H43</f>
        <v>-5071</v>
      </c>
      <c r="I44" s="231">
        <f>I41-I43</f>
        <v>-7625</v>
      </c>
      <c r="J44" s="231">
        <f>J41-J43</f>
        <v>-15021</v>
      </c>
    </row>
  </sheetData>
  <pageMargins left="0.7" right="0.7" top="0.75" bottom="0.75" header="0.3" footer="0.3"/>
  <pageSetup paperSize="9" orientation="portrait" horizontalDpi="0" verticalDpi="0"/>
  <ignoredErrors>
    <ignoredError sqref="I6" formula="1"/>
    <ignoredError sqref="J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E208"/>
  <sheetViews>
    <sheetView showGridLines="0" tabSelected="1" zoomScaleNormal="100" workbookViewId="0">
      <selection activeCell="J9" sqref="J9"/>
    </sheetView>
  </sheetViews>
  <sheetFormatPr baseColWidth="10" defaultColWidth="10" defaultRowHeight="15.75"/>
  <cols>
    <col min="1" max="1" width="110.6640625" style="6" customWidth="1"/>
    <col min="2" max="2" width="17.1640625" style="205" hidden="1" customWidth="1"/>
    <col min="3" max="4" width="15" style="6" hidden="1" customWidth="1"/>
    <col min="5" max="6" width="15" style="6" customWidth="1"/>
    <col min="7" max="7" width="15.1640625" style="6" customWidth="1"/>
    <col min="8" max="57" width="10" style="270"/>
    <col min="58" max="16384" width="10" style="6"/>
  </cols>
  <sheetData>
    <row r="1" spans="1:57" ht="18.75">
      <c r="A1" s="269" t="s">
        <v>277</v>
      </c>
      <c r="B1" s="92"/>
      <c r="C1" s="91"/>
      <c r="D1" s="91"/>
      <c r="E1" s="91"/>
      <c r="F1" s="91"/>
      <c r="G1" s="91"/>
    </row>
    <row r="2" spans="1:57">
      <c r="A2" s="93"/>
      <c r="B2" s="92"/>
      <c r="C2" s="93"/>
      <c r="D2" s="93"/>
      <c r="E2" s="93"/>
      <c r="F2" s="93"/>
      <c r="G2" s="93"/>
    </row>
    <row r="3" spans="1:57" s="180" customFormat="1">
      <c r="A3" s="109" t="s">
        <v>78</v>
      </c>
      <c r="B3" s="179"/>
      <c r="C3" s="179"/>
      <c r="D3" s="179">
        <v>2016</v>
      </c>
      <c r="E3" s="179">
        <v>2017</v>
      </c>
      <c r="F3" s="179">
        <v>2018</v>
      </c>
      <c r="G3" s="187">
        <v>2019</v>
      </c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270"/>
      <c r="AN3" s="270"/>
      <c r="AO3" s="270"/>
      <c r="AP3" s="270"/>
      <c r="AQ3" s="270"/>
      <c r="AR3" s="270"/>
      <c r="AS3" s="270"/>
      <c r="AT3" s="270"/>
      <c r="AU3" s="270"/>
      <c r="AV3" s="270"/>
      <c r="AW3" s="270"/>
      <c r="AX3" s="270"/>
      <c r="AY3" s="270"/>
      <c r="AZ3" s="270"/>
      <c r="BA3" s="270"/>
      <c r="BB3" s="270"/>
      <c r="BC3" s="270"/>
      <c r="BD3" s="270"/>
      <c r="BE3" s="270"/>
    </row>
    <row r="4" spans="1:57" s="20" customFormat="1">
      <c r="A4" s="94"/>
      <c r="B4" s="181"/>
      <c r="C4" s="181"/>
      <c r="D4" s="181"/>
      <c r="E4" s="181"/>
      <c r="F4" s="181"/>
      <c r="G4" s="232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0"/>
      <c r="AR4" s="270"/>
      <c r="AS4" s="270"/>
      <c r="AT4" s="270"/>
      <c r="AU4" s="270"/>
      <c r="AV4" s="270"/>
      <c r="AW4" s="270"/>
      <c r="AX4" s="270"/>
      <c r="AY4" s="270"/>
      <c r="AZ4" s="270"/>
      <c r="BA4" s="270"/>
      <c r="BB4" s="270"/>
      <c r="BC4" s="270"/>
      <c r="BD4" s="270"/>
      <c r="BE4" s="270"/>
    </row>
    <row r="5" spans="1:57">
      <c r="A5" s="95" t="s">
        <v>1</v>
      </c>
      <c r="B5" s="96"/>
      <c r="C5" s="96"/>
      <c r="D5" s="96"/>
      <c r="E5" s="96">
        <v>69447</v>
      </c>
      <c r="F5" s="96">
        <v>71912</v>
      </c>
      <c r="G5" s="233">
        <v>102174</v>
      </c>
    </row>
    <row r="6" spans="1:57">
      <c r="A6" s="95" t="s">
        <v>2</v>
      </c>
      <c r="B6" s="96"/>
      <c r="C6" s="96"/>
      <c r="D6" s="96"/>
      <c r="E6" s="96">
        <v>77487</v>
      </c>
      <c r="F6" s="96">
        <v>103545</v>
      </c>
      <c r="G6" s="233">
        <v>122304</v>
      </c>
    </row>
    <row r="7" spans="1:57">
      <c r="A7" s="182" t="s">
        <v>3</v>
      </c>
      <c r="B7" s="96"/>
      <c r="C7" s="96"/>
      <c r="D7" s="96"/>
      <c r="E7" s="96">
        <v>441127</v>
      </c>
      <c r="F7" s="96">
        <v>559712</v>
      </c>
      <c r="G7" s="233">
        <v>716345</v>
      </c>
    </row>
    <row r="8" spans="1:57">
      <c r="A8" s="182" t="s">
        <v>4</v>
      </c>
      <c r="B8" s="96"/>
      <c r="C8" s="96"/>
      <c r="D8" s="96"/>
      <c r="E8" s="96"/>
      <c r="F8" s="96"/>
      <c r="G8" s="233"/>
    </row>
    <row r="9" spans="1:57">
      <c r="A9" s="95" t="s">
        <v>5</v>
      </c>
      <c r="B9" s="96"/>
      <c r="C9" s="96"/>
      <c r="D9" s="96"/>
      <c r="E9" s="96">
        <v>839747</v>
      </c>
      <c r="F9" s="96">
        <v>1033598</v>
      </c>
      <c r="G9" s="233">
        <v>1490620.7</v>
      </c>
    </row>
    <row r="10" spans="1:57" s="37" customFormat="1">
      <c r="A10" s="97" t="s">
        <v>63</v>
      </c>
      <c r="B10" s="183"/>
      <c r="C10" s="183"/>
      <c r="D10" s="183"/>
      <c r="E10" s="183">
        <v>-30884</v>
      </c>
      <c r="F10" s="183">
        <v>-39696</v>
      </c>
      <c r="G10" s="234">
        <v>-48451</v>
      </c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  <c r="AX10" s="271"/>
      <c r="AY10" s="271"/>
      <c r="AZ10" s="271"/>
      <c r="BA10" s="271"/>
      <c r="BB10" s="271"/>
      <c r="BC10" s="271"/>
      <c r="BD10" s="271"/>
      <c r="BE10" s="271"/>
    </row>
    <row r="11" spans="1:57">
      <c r="A11" s="95" t="s">
        <v>6</v>
      </c>
      <c r="B11" s="96"/>
      <c r="C11" s="96"/>
      <c r="D11" s="96"/>
      <c r="E11" s="96">
        <v>808863</v>
      </c>
      <c r="F11" s="96">
        <v>993902</v>
      </c>
      <c r="G11" s="233">
        <v>1442170</v>
      </c>
    </row>
    <row r="12" spans="1:57">
      <c r="A12" s="95" t="s">
        <v>7</v>
      </c>
      <c r="B12" s="96"/>
      <c r="C12" s="96"/>
      <c r="D12" s="96"/>
      <c r="E12" s="96">
        <v>8227</v>
      </c>
      <c r="F12" s="96">
        <v>23768</v>
      </c>
      <c r="G12" s="233">
        <v>3539</v>
      </c>
    </row>
    <row r="13" spans="1:57">
      <c r="A13" s="95" t="s">
        <v>16</v>
      </c>
      <c r="B13" s="96"/>
      <c r="C13" s="96"/>
      <c r="D13" s="96"/>
      <c r="E13" s="96">
        <v>31815</v>
      </c>
      <c r="F13" s="96">
        <v>43034</v>
      </c>
      <c r="G13" s="233">
        <v>56814</v>
      </c>
    </row>
    <row r="14" spans="1:57">
      <c r="A14" s="98" t="s">
        <v>8</v>
      </c>
      <c r="B14" s="96"/>
      <c r="C14" s="96"/>
      <c r="D14" s="96"/>
      <c r="E14" s="96">
        <v>79494</v>
      </c>
      <c r="F14" s="96">
        <v>54278</v>
      </c>
      <c r="G14" s="233">
        <v>66539</v>
      </c>
    </row>
    <row r="15" spans="1:57" s="184" customFormat="1">
      <c r="A15" s="99" t="s">
        <v>79</v>
      </c>
      <c r="B15" s="100"/>
      <c r="C15" s="100"/>
      <c r="D15" s="100">
        <f>SUM(D5,D6,D7,D8,D11,D12,D13,D14)</f>
        <v>0</v>
      </c>
      <c r="E15" s="100">
        <v>1516460</v>
      </c>
      <c r="F15" s="100">
        <v>1850151</v>
      </c>
      <c r="G15" s="235">
        <v>2509885</v>
      </c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  <c r="AL15" s="270"/>
      <c r="AM15" s="270"/>
      <c r="AN15" s="270"/>
      <c r="AO15" s="270"/>
      <c r="AP15" s="270"/>
      <c r="AQ15" s="270"/>
      <c r="AR15" s="270"/>
      <c r="AS15" s="270"/>
      <c r="AT15" s="270"/>
      <c r="AU15" s="270"/>
      <c r="AV15" s="270"/>
      <c r="AW15" s="270"/>
      <c r="AX15" s="270"/>
      <c r="AY15" s="270"/>
      <c r="AZ15" s="270"/>
      <c r="BA15" s="270"/>
      <c r="BB15" s="270"/>
      <c r="BC15" s="270"/>
      <c r="BD15" s="270"/>
      <c r="BE15" s="270"/>
    </row>
    <row r="16" spans="1:57" s="20" customFormat="1">
      <c r="A16" s="101"/>
      <c r="B16" s="185"/>
      <c r="C16" s="185"/>
      <c r="D16" s="185"/>
      <c r="E16" s="185"/>
      <c r="F16" s="185"/>
      <c r="G16" s="236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  <c r="AO16" s="270"/>
      <c r="AP16" s="270"/>
      <c r="AQ16" s="270"/>
      <c r="AR16" s="270"/>
      <c r="AS16" s="270"/>
      <c r="AT16" s="270"/>
      <c r="AU16" s="270"/>
      <c r="AV16" s="270"/>
      <c r="AW16" s="270"/>
      <c r="AX16" s="270"/>
      <c r="AY16" s="270"/>
      <c r="AZ16" s="270"/>
      <c r="BA16" s="270"/>
      <c r="BB16" s="270"/>
      <c r="BC16" s="270"/>
      <c r="BD16" s="270"/>
      <c r="BE16" s="270"/>
    </row>
    <row r="17" spans="1:57">
      <c r="A17" s="98" t="s">
        <v>9</v>
      </c>
      <c r="B17" s="102"/>
      <c r="C17" s="102"/>
      <c r="D17" s="102"/>
      <c r="E17" s="102">
        <v>927363</v>
      </c>
      <c r="F17" s="102">
        <v>1077312</v>
      </c>
      <c r="G17" s="103">
        <v>1499993</v>
      </c>
    </row>
    <row r="18" spans="1:57">
      <c r="A18" s="98" t="s">
        <v>10</v>
      </c>
      <c r="B18" s="102"/>
      <c r="C18" s="102"/>
      <c r="D18" s="102"/>
      <c r="E18" s="102">
        <v>376854</v>
      </c>
      <c r="F18" s="102">
        <v>513723</v>
      </c>
      <c r="G18" s="103">
        <v>692191</v>
      </c>
    </row>
    <row r="19" spans="1:57">
      <c r="A19" s="104" t="s">
        <v>11</v>
      </c>
      <c r="B19" s="102"/>
      <c r="C19" s="102"/>
      <c r="D19" s="102"/>
      <c r="E19" s="102">
        <v>800</v>
      </c>
      <c r="F19" s="102">
        <v>30972</v>
      </c>
      <c r="G19" s="103">
        <v>30973</v>
      </c>
    </row>
    <row r="20" spans="1:57">
      <c r="A20" s="98" t="s">
        <v>12</v>
      </c>
      <c r="B20" s="102"/>
      <c r="C20" s="102"/>
      <c r="D20" s="102"/>
      <c r="E20" s="102">
        <v>48889</v>
      </c>
      <c r="F20" s="102">
        <v>41913</v>
      </c>
      <c r="G20" s="103">
        <v>66839</v>
      </c>
    </row>
    <row r="21" spans="1:57">
      <c r="A21" s="98" t="s">
        <v>17</v>
      </c>
      <c r="B21" s="102"/>
      <c r="C21" s="102"/>
      <c r="D21" s="102"/>
      <c r="E21" s="102">
        <v>1353906</v>
      </c>
      <c r="F21" s="102">
        <v>1663920</v>
      </c>
      <c r="G21" s="103">
        <v>2289996</v>
      </c>
    </row>
    <row r="22" spans="1:57">
      <c r="A22" s="98" t="s">
        <v>13</v>
      </c>
      <c r="B22" s="186"/>
      <c r="C22" s="102"/>
      <c r="D22" s="102"/>
      <c r="E22" s="102"/>
      <c r="F22" s="102"/>
      <c r="G22" s="103"/>
    </row>
    <row r="23" spans="1:57">
      <c r="A23" s="98" t="s">
        <v>14</v>
      </c>
      <c r="B23" s="102"/>
      <c r="C23" s="102"/>
      <c r="D23" s="102"/>
      <c r="E23" s="102">
        <v>64673</v>
      </c>
      <c r="F23" s="102">
        <v>68204</v>
      </c>
      <c r="G23" s="103">
        <v>82546</v>
      </c>
    </row>
    <row r="24" spans="1:57">
      <c r="A24" s="104" t="s">
        <v>55</v>
      </c>
      <c r="B24" s="102"/>
      <c r="C24" s="102"/>
      <c r="D24" s="102"/>
      <c r="E24" s="102">
        <v>2066</v>
      </c>
      <c r="F24" s="102">
        <v>1627</v>
      </c>
      <c r="G24" s="103">
        <v>2025</v>
      </c>
    </row>
    <row r="25" spans="1:57">
      <c r="A25" s="98" t="s">
        <v>54</v>
      </c>
      <c r="B25" s="102"/>
      <c r="C25" s="102"/>
      <c r="D25" s="102"/>
      <c r="E25" s="102">
        <v>95815</v>
      </c>
      <c r="F25" s="102">
        <v>116400</v>
      </c>
      <c r="G25" s="103">
        <v>135318</v>
      </c>
    </row>
    <row r="26" spans="1:57">
      <c r="A26" s="98" t="s">
        <v>56</v>
      </c>
      <c r="B26" s="105"/>
      <c r="C26" s="102"/>
      <c r="D26" s="102"/>
      <c r="E26" s="102">
        <v>162554</v>
      </c>
      <c r="F26" s="102">
        <v>186231</v>
      </c>
      <c r="G26" s="103">
        <v>219889</v>
      </c>
    </row>
    <row r="27" spans="1:57" s="184" customFormat="1">
      <c r="A27" s="99" t="s">
        <v>15</v>
      </c>
      <c r="B27" s="106"/>
      <c r="C27" s="106"/>
      <c r="D27" s="106">
        <f>D21+D26</f>
        <v>0</v>
      </c>
      <c r="E27" s="106">
        <v>1516460</v>
      </c>
      <c r="F27" s="106">
        <v>1850151</v>
      </c>
      <c r="G27" s="113">
        <v>2509885</v>
      </c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270"/>
      <c r="Z27" s="270"/>
      <c r="AA27" s="270"/>
      <c r="AB27" s="270"/>
      <c r="AC27" s="270"/>
      <c r="AD27" s="270"/>
      <c r="AE27" s="270"/>
      <c r="AF27" s="270"/>
      <c r="AG27" s="270"/>
      <c r="AH27" s="270"/>
      <c r="AI27" s="270"/>
      <c r="AJ27" s="270"/>
      <c r="AK27" s="270"/>
      <c r="AL27" s="270"/>
      <c r="AM27" s="270"/>
      <c r="AN27" s="270"/>
      <c r="AO27" s="270"/>
      <c r="AP27" s="270"/>
      <c r="AQ27" s="270"/>
      <c r="AR27" s="270"/>
      <c r="AS27" s="270"/>
      <c r="AT27" s="270"/>
      <c r="AU27" s="270"/>
      <c r="AV27" s="270"/>
      <c r="AW27" s="270"/>
      <c r="AX27" s="270"/>
      <c r="AY27" s="270"/>
      <c r="AZ27" s="270"/>
      <c r="BA27" s="270"/>
      <c r="BB27" s="270"/>
      <c r="BC27" s="270"/>
      <c r="BD27" s="270"/>
      <c r="BE27" s="270"/>
    </row>
    <row r="28" spans="1:57">
      <c r="A28" s="93"/>
      <c r="B28" s="108"/>
      <c r="C28" s="108"/>
      <c r="D28" s="108"/>
      <c r="E28" s="108"/>
      <c r="F28" s="108"/>
      <c r="G28" s="108"/>
    </row>
    <row r="29" spans="1:57" s="180" customFormat="1">
      <c r="A29" s="109" t="s">
        <v>80</v>
      </c>
      <c r="B29" s="179"/>
      <c r="C29" s="179"/>
      <c r="D29" s="179">
        <v>2016</v>
      </c>
      <c r="E29" s="179">
        <v>2017</v>
      </c>
      <c r="F29" s="179">
        <v>2018</v>
      </c>
      <c r="G29" s="187">
        <v>2019</v>
      </c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0"/>
      <c r="W29" s="270"/>
      <c r="X29" s="270"/>
      <c r="Y29" s="270"/>
      <c r="Z29" s="270"/>
      <c r="AA29" s="270"/>
      <c r="AB29" s="270"/>
      <c r="AC29" s="270"/>
      <c r="AD29" s="270"/>
      <c r="AE29" s="270"/>
      <c r="AF29" s="270"/>
      <c r="AG29" s="270"/>
      <c r="AH29" s="270"/>
      <c r="AI29" s="270"/>
      <c r="AJ29" s="270"/>
      <c r="AK29" s="270"/>
      <c r="AL29" s="270"/>
      <c r="AM29" s="270"/>
      <c r="AN29" s="270"/>
      <c r="AO29" s="270"/>
      <c r="AP29" s="270"/>
      <c r="AQ29" s="270"/>
      <c r="AR29" s="270"/>
      <c r="AS29" s="270"/>
      <c r="AT29" s="270"/>
      <c r="AU29" s="270"/>
      <c r="AV29" s="270"/>
      <c r="AW29" s="270"/>
      <c r="AX29" s="270"/>
      <c r="AY29" s="270"/>
      <c r="AZ29" s="270"/>
      <c r="BA29" s="270"/>
      <c r="BB29" s="270"/>
      <c r="BC29" s="270"/>
      <c r="BD29" s="270"/>
      <c r="BE29" s="270"/>
    </row>
    <row r="30" spans="1:57" s="20" customFormat="1">
      <c r="A30" s="101"/>
      <c r="B30" s="188"/>
      <c r="C30" s="188"/>
      <c r="D30" s="188"/>
      <c r="E30" s="188"/>
      <c r="F30" s="188"/>
      <c r="G30" s="189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0"/>
      <c r="AB30" s="270"/>
      <c r="AC30" s="270"/>
      <c r="AD30" s="270"/>
      <c r="AE30" s="270"/>
      <c r="AF30" s="270"/>
      <c r="AG30" s="270"/>
      <c r="AH30" s="270"/>
      <c r="AI30" s="270"/>
      <c r="AJ30" s="270"/>
      <c r="AK30" s="270"/>
      <c r="AL30" s="270"/>
      <c r="AM30" s="270"/>
      <c r="AN30" s="270"/>
      <c r="AO30" s="270"/>
      <c r="AP30" s="270"/>
      <c r="AQ30" s="270"/>
      <c r="AR30" s="270"/>
      <c r="AS30" s="270"/>
      <c r="AT30" s="270"/>
      <c r="AU30" s="270"/>
      <c r="AV30" s="270"/>
      <c r="AW30" s="270"/>
      <c r="AX30" s="270"/>
      <c r="AY30" s="270"/>
      <c r="AZ30" s="270"/>
      <c r="BA30" s="270"/>
      <c r="BB30" s="270"/>
      <c r="BC30" s="270"/>
      <c r="BD30" s="270"/>
      <c r="BE30" s="270"/>
    </row>
    <row r="31" spans="1:57">
      <c r="A31" s="98" t="s">
        <v>18</v>
      </c>
      <c r="B31" s="102"/>
      <c r="C31" s="102"/>
      <c r="D31" s="102"/>
      <c r="E31" s="102">
        <v>88535</v>
      </c>
      <c r="F31" s="102">
        <v>109284</v>
      </c>
      <c r="G31" s="103">
        <v>136318</v>
      </c>
    </row>
    <row r="32" spans="1:57">
      <c r="A32" s="98" t="s">
        <v>19</v>
      </c>
      <c r="B32" s="111"/>
      <c r="C32" s="111"/>
      <c r="D32" s="111"/>
      <c r="E32" s="111">
        <v>-38258</v>
      </c>
      <c r="F32" s="111">
        <v>-45501</v>
      </c>
      <c r="G32" s="112">
        <v>-56191</v>
      </c>
    </row>
    <row r="33" spans="1:57" s="184" customFormat="1">
      <c r="A33" s="99" t="s">
        <v>20</v>
      </c>
      <c r="B33" s="106"/>
      <c r="C33" s="106"/>
      <c r="D33" s="106">
        <f>D31+D32</f>
        <v>0</v>
      </c>
      <c r="E33" s="106">
        <v>50277</v>
      </c>
      <c r="F33" s="106">
        <v>63783</v>
      </c>
      <c r="G33" s="113">
        <v>80127</v>
      </c>
      <c r="H33" s="270"/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0"/>
      <c r="W33" s="270"/>
      <c r="X33" s="270"/>
      <c r="Y33" s="270"/>
      <c r="Z33" s="270"/>
      <c r="AA33" s="270"/>
      <c r="AB33" s="270"/>
      <c r="AC33" s="270"/>
      <c r="AD33" s="270"/>
      <c r="AE33" s="270"/>
      <c r="AF33" s="270"/>
      <c r="AG33" s="270"/>
      <c r="AH33" s="270"/>
      <c r="AI33" s="270"/>
      <c r="AJ33" s="270"/>
      <c r="AK33" s="270"/>
      <c r="AL33" s="270"/>
      <c r="AM33" s="270"/>
      <c r="AN33" s="270"/>
      <c r="AO33" s="270"/>
      <c r="AP33" s="270"/>
      <c r="AQ33" s="270"/>
      <c r="AR33" s="270"/>
      <c r="AS33" s="270"/>
      <c r="AT33" s="270"/>
      <c r="AU33" s="270"/>
      <c r="AV33" s="270"/>
      <c r="AW33" s="270"/>
      <c r="AX33" s="270"/>
      <c r="AY33" s="270"/>
      <c r="AZ33" s="270"/>
      <c r="BA33" s="270"/>
      <c r="BB33" s="270"/>
      <c r="BC33" s="270"/>
      <c r="BD33" s="270"/>
      <c r="BE33" s="270"/>
    </row>
    <row r="34" spans="1:57">
      <c r="A34" s="98" t="s">
        <v>31</v>
      </c>
      <c r="B34" s="102"/>
      <c r="C34" s="102"/>
      <c r="D34" s="102"/>
      <c r="E34" s="102"/>
      <c r="F34" s="102"/>
      <c r="G34" s="103"/>
    </row>
    <row r="35" spans="1:57">
      <c r="A35" s="98" t="s">
        <v>21</v>
      </c>
      <c r="B35" s="102"/>
      <c r="C35" s="102"/>
      <c r="D35" s="102"/>
      <c r="E35" s="102">
        <v>562</v>
      </c>
      <c r="F35" s="102">
        <v>5545.6</v>
      </c>
      <c r="G35" s="103">
        <v>4536</v>
      </c>
    </row>
    <row r="36" spans="1:57">
      <c r="A36" s="98" t="s">
        <v>33</v>
      </c>
      <c r="B36" s="102"/>
      <c r="C36" s="102"/>
      <c r="D36" s="102"/>
      <c r="E36" s="102">
        <v>18364</v>
      </c>
      <c r="F36" s="102">
        <v>17853.599999999999</v>
      </c>
      <c r="G36" s="103">
        <v>28660</v>
      </c>
    </row>
    <row r="37" spans="1:57">
      <c r="A37" s="98" t="s">
        <v>34</v>
      </c>
      <c r="B37" s="102"/>
      <c r="C37" s="102"/>
      <c r="D37" s="102"/>
      <c r="E37" s="102">
        <v>2333</v>
      </c>
      <c r="F37" s="102">
        <v>1781.1</v>
      </c>
      <c r="G37" s="103">
        <v>1523</v>
      </c>
    </row>
    <row r="38" spans="1:57">
      <c r="A38" s="98" t="s">
        <v>32</v>
      </c>
      <c r="B38" s="114"/>
      <c r="C38" s="114"/>
      <c r="D38" s="114">
        <f>SUM(D34:D37)</f>
        <v>0</v>
      </c>
      <c r="E38" s="114">
        <v>21259</v>
      </c>
      <c r="F38" s="114">
        <v>25180.299999999996</v>
      </c>
      <c r="G38" s="115">
        <v>34719</v>
      </c>
    </row>
    <row r="39" spans="1:57" s="184" customFormat="1">
      <c r="A39" s="99" t="s">
        <v>267</v>
      </c>
      <c r="B39" s="106"/>
      <c r="C39" s="106"/>
      <c r="D39" s="106">
        <f>D33+D38</f>
        <v>0</v>
      </c>
      <c r="E39" s="106">
        <v>71536</v>
      </c>
      <c r="F39" s="106">
        <v>88963.299999999988</v>
      </c>
      <c r="G39" s="113">
        <v>114846</v>
      </c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0"/>
      <c r="X39" s="270"/>
      <c r="Y39" s="270"/>
      <c r="Z39" s="270"/>
      <c r="AA39" s="270"/>
      <c r="AB39" s="270"/>
      <c r="AC39" s="270"/>
      <c r="AD39" s="270"/>
      <c r="AE39" s="270"/>
      <c r="AF39" s="270"/>
      <c r="AG39" s="270"/>
      <c r="AH39" s="270"/>
      <c r="AI39" s="270"/>
      <c r="AJ39" s="270"/>
      <c r="AK39" s="270"/>
      <c r="AL39" s="270"/>
      <c r="AM39" s="270"/>
      <c r="AN39" s="270"/>
      <c r="AO39" s="270"/>
      <c r="AP39" s="270"/>
      <c r="AQ39" s="270"/>
      <c r="AR39" s="270"/>
      <c r="AS39" s="270"/>
      <c r="AT39" s="270"/>
      <c r="AU39" s="270"/>
      <c r="AV39" s="270"/>
      <c r="AW39" s="270"/>
      <c r="AX39" s="270"/>
      <c r="AY39" s="270"/>
      <c r="AZ39" s="270"/>
      <c r="BA39" s="270"/>
      <c r="BB39" s="270"/>
      <c r="BC39" s="270"/>
      <c r="BD39" s="270"/>
      <c r="BE39" s="270"/>
    </row>
    <row r="40" spans="1:57">
      <c r="A40" s="98" t="s">
        <v>23</v>
      </c>
      <c r="B40" s="111"/>
      <c r="C40" s="111"/>
      <c r="D40" s="111"/>
      <c r="E40" s="111">
        <v>0</v>
      </c>
      <c r="F40" s="111">
        <v>0</v>
      </c>
      <c r="G40" s="112">
        <v>0</v>
      </c>
    </row>
    <row r="41" spans="1:57">
      <c r="A41" s="98" t="s">
        <v>25</v>
      </c>
      <c r="B41" s="111"/>
      <c r="C41" s="111"/>
      <c r="D41" s="111"/>
      <c r="E41" s="111">
        <v>-22839</v>
      </c>
      <c r="F41" s="111">
        <v>-30813</v>
      </c>
      <c r="G41" s="112">
        <v>-40105</v>
      </c>
    </row>
    <row r="42" spans="1:57">
      <c r="A42" s="98" t="s">
        <v>75</v>
      </c>
      <c r="B42" s="111"/>
      <c r="C42" s="111"/>
      <c r="D42" s="111"/>
      <c r="E42" s="111">
        <v>-4367</v>
      </c>
      <c r="F42" s="111">
        <v>-5824</v>
      </c>
      <c r="G42" s="112">
        <v>-4847</v>
      </c>
    </row>
    <row r="43" spans="1:57" s="184" customFormat="1">
      <c r="A43" s="99" t="s">
        <v>24</v>
      </c>
      <c r="B43" s="116"/>
      <c r="C43" s="116"/>
      <c r="D43" s="116">
        <f>D40+D41+D42</f>
        <v>0</v>
      </c>
      <c r="E43" s="116">
        <v>-27206</v>
      </c>
      <c r="F43" s="116">
        <v>-36637</v>
      </c>
      <c r="G43" s="117">
        <v>-44952</v>
      </c>
      <c r="H43" s="270"/>
      <c r="I43" s="270"/>
      <c r="J43" s="270"/>
      <c r="K43" s="270"/>
      <c r="L43" s="270"/>
      <c r="M43" s="270"/>
      <c r="N43" s="270"/>
      <c r="O43" s="270"/>
      <c r="P43" s="270"/>
      <c r="Q43" s="270"/>
      <c r="R43" s="270"/>
      <c r="S43" s="270"/>
      <c r="T43" s="270"/>
      <c r="U43" s="270"/>
      <c r="V43" s="270"/>
      <c r="W43" s="270"/>
      <c r="X43" s="270"/>
      <c r="Y43" s="270"/>
      <c r="Z43" s="270"/>
      <c r="AA43" s="270"/>
      <c r="AB43" s="270"/>
      <c r="AC43" s="270"/>
      <c r="AD43" s="270"/>
      <c r="AE43" s="270"/>
      <c r="AF43" s="270"/>
      <c r="AG43" s="270"/>
      <c r="AH43" s="270"/>
      <c r="AI43" s="270"/>
      <c r="AJ43" s="270"/>
      <c r="AK43" s="270"/>
      <c r="AL43" s="270"/>
      <c r="AM43" s="270"/>
      <c r="AN43" s="270"/>
      <c r="AO43" s="270"/>
      <c r="AP43" s="270"/>
      <c r="AQ43" s="270"/>
      <c r="AR43" s="270"/>
      <c r="AS43" s="270"/>
      <c r="AT43" s="270"/>
      <c r="AU43" s="270"/>
      <c r="AV43" s="270"/>
      <c r="AW43" s="270"/>
      <c r="AX43" s="270"/>
      <c r="AY43" s="270"/>
      <c r="AZ43" s="270"/>
      <c r="BA43" s="270"/>
      <c r="BB43" s="270"/>
      <c r="BC43" s="270"/>
      <c r="BD43" s="270"/>
      <c r="BE43" s="270"/>
    </row>
    <row r="44" spans="1:57" s="184" customFormat="1">
      <c r="A44" s="99" t="s">
        <v>35</v>
      </c>
      <c r="B44" s="106"/>
      <c r="C44" s="106"/>
      <c r="D44" s="106">
        <f>D39+D43</f>
        <v>0</v>
      </c>
      <c r="E44" s="106">
        <v>44330</v>
      </c>
      <c r="F44" s="106">
        <v>52326.299999999988</v>
      </c>
      <c r="G44" s="113">
        <v>69894</v>
      </c>
      <c r="H44" s="270"/>
      <c r="I44" s="270"/>
      <c r="J44" s="270"/>
      <c r="K44" s="270"/>
      <c r="L44" s="270"/>
      <c r="M44" s="270"/>
      <c r="N44" s="270"/>
      <c r="O44" s="270"/>
      <c r="P44" s="270"/>
      <c r="Q44" s="270"/>
      <c r="R44" s="270"/>
      <c r="S44" s="270"/>
      <c r="T44" s="270"/>
      <c r="U44" s="270"/>
      <c r="V44" s="270"/>
      <c r="W44" s="270"/>
      <c r="X44" s="270"/>
      <c r="Y44" s="270"/>
      <c r="Z44" s="270"/>
      <c r="AA44" s="270"/>
      <c r="AB44" s="270"/>
      <c r="AC44" s="270"/>
      <c r="AD44" s="270"/>
      <c r="AE44" s="270"/>
      <c r="AF44" s="270"/>
      <c r="AG44" s="270"/>
      <c r="AH44" s="270"/>
      <c r="AI44" s="270"/>
      <c r="AJ44" s="270"/>
      <c r="AK44" s="270"/>
      <c r="AL44" s="270"/>
      <c r="AM44" s="270"/>
      <c r="AN44" s="270"/>
      <c r="AO44" s="270"/>
      <c r="AP44" s="270"/>
      <c r="AQ44" s="270"/>
      <c r="AR44" s="270"/>
      <c r="AS44" s="270"/>
      <c r="AT44" s="270"/>
      <c r="AU44" s="270"/>
      <c r="AV44" s="270"/>
      <c r="AW44" s="270"/>
      <c r="AX44" s="270"/>
      <c r="AY44" s="270"/>
      <c r="AZ44" s="270"/>
      <c r="BA44" s="270"/>
      <c r="BB44" s="270"/>
      <c r="BC44" s="270"/>
      <c r="BD44" s="270"/>
      <c r="BE44" s="270"/>
    </row>
    <row r="45" spans="1:57">
      <c r="A45" s="98" t="s">
        <v>64</v>
      </c>
      <c r="B45" s="111"/>
      <c r="C45" s="111"/>
      <c r="D45" s="111"/>
      <c r="E45" s="111">
        <v>-13378</v>
      </c>
      <c r="F45" s="111">
        <v>-13391</v>
      </c>
      <c r="G45" s="112">
        <v>-13356</v>
      </c>
    </row>
    <row r="46" spans="1:57">
      <c r="A46" s="98" t="s">
        <v>26</v>
      </c>
      <c r="B46" s="111"/>
      <c r="C46" s="111"/>
      <c r="D46" s="111"/>
      <c r="E46" s="190">
        <v>2294</v>
      </c>
      <c r="F46" s="190">
        <v>1928</v>
      </c>
      <c r="G46" s="191">
        <v>2370</v>
      </c>
    </row>
    <row r="47" spans="1:57">
      <c r="A47" s="98" t="s">
        <v>27</v>
      </c>
      <c r="B47" s="114"/>
      <c r="C47" s="114"/>
      <c r="D47" s="114">
        <f>D44+D45+D46</f>
        <v>0</v>
      </c>
      <c r="E47" s="114">
        <v>33246</v>
      </c>
      <c r="F47" s="114">
        <v>40863.299999999988</v>
      </c>
      <c r="G47" s="115">
        <v>58908</v>
      </c>
    </row>
    <row r="48" spans="1:57">
      <c r="A48" s="98" t="s">
        <v>28</v>
      </c>
      <c r="B48" s="111"/>
      <c r="C48" s="111"/>
      <c r="D48" s="111"/>
      <c r="E48" s="111">
        <v>-3277</v>
      </c>
      <c r="F48" s="111">
        <v>-4311</v>
      </c>
      <c r="G48" s="112">
        <v>-6556</v>
      </c>
    </row>
    <row r="49" spans="1:57" s="184" customFormat="1">
      <c r="A49" s="99" t="s">
        <v>29</v>
      </c>
      <c r="B49" s="106"/>
      <c r="C49" s="106"/>
      <c r="D49" s="106">
        <f>D47+D48</f>
        <v>0</v>
      </c>
      <c r="E49" s="106">
        <v>29969</v>
      </c>
      <c r="F49" s="106">
        <v>36552.299999999988</v>
      </c>
      <c r="G49" s="113">
        <v>52352</v>
      </c>
      <c r="H49" s="270"/>
      <c r="I49" s="270"/>
      <c r="J49" s="270"/>
      <c r="K49" s="270"/>
      <c r="L49" s="270"/>
      <c r="M49" s="270"/>
      <c r="N49" s="270"/>
      <c r="O49" s="270"/>
      <c r="P49" s="270"/>
      <c r="Q49" s="270"/>
      <c r="R49" s="270"/>
      <c r="S49" s="270"/>
      <c r="T49" s="270"/>
      <c r="U49" s="270"/>
      <c r="V49" s="270"/>
      <c r="W49" s="270"/>
      <c r="X49" s="270"/>
      <c r="Y49" s="270"/>
      <c r="Z49" s="270"/>
      <c r="AA49" s="270"/>
      <c r="AB49" s="270"/>
      <c r="AC49" s="270"/>
      <c r="AD49" s="270"/>
      <c r="AE49" s="270"/>
      <c r="AF49" s="270"/>
      <c r="AG49" s="270"/>
      <c r="AH49" s="270"/>
      <c r="AI49" s="270"/>
      <c r="AJ49" s="270"/>
      <c r="AK49" s="270"/>
      <c r="AL49" s="270"/>
      <c r="AM49" s="270"/>
      <c r="AN49" s="270"/>
      <c r="AO49" s="270"/>
      <c r="AP49" s="270"/>
      <c r="AQ49" s="270"/>
      <c r="AR49" s="270"/>
      <c r="AS49" s="270"/>
      <c r="AT49" s="270"/>
      <c r="AU49" s="270"/>
      <c r="AV49" s="270"/>
      <c r="AW49" s="270"/>
      <c r="AX49" s="270"/>
      <c r="AY49" s="270"/>
      <c r="AZ49" s="270"/>
      <c r="BA49" s="270"/>
      <c r="BB49" s="270"/>
      <c r="BC49" s="270"/>
      <c r="BD49" s="270"/>
      <c r="BE49" s="270"/>
    </row>
    <row r="50" spans="1:57" s="192" customFormat="1">
      <c r="A50" s="98" t="s">
        <v>14</v>
      </c>
      <c r="B50" s="102"/>
      <c r="C50" s="102"/>
      <c r="D50" s="102"/>
      <c r="E50" s="102">
        <v>11358</v>
      </c>
      <c r="F50" s="102">
        <v>13390</v>
      </c>
      <c r="G50" s="103">
        <v>18425</v>
      </c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2"/>
      <c r="AJ50" s="272"/>
      <c r="AK50" s="272"/>
      <c r="AL50" s="272"/>
      <c r="AM50" s="272"/>
      <c r="AN50" s="272"/>
      <c r="AO50" s="272"/>
      <c r="AP50" s="272"/>
      <c r="AQ50" s="272"/>
      <c r="AR50" s="272"/>
      <c r="AS50" s="272"/>
      <c r="AT50" s="272"/>
      <c r="AU50" s="272"/>
      <c r="AV50" s="272"/>
      <c r="AW50" s="272"/>
      <c r="AX50" s="272"/>
      <c r="AY50" s="272"/>
      <c r="AZ50" s="272"/>
      <c r="BA50" s="272"/>
      <c r="BB50" s="272"/>
      <c r="BC50" s="272"/>
      <c r="BD50" s="272"/>
      <c r="BE50" s="272"/>
    </row>
    <row r="51" spans="1:57" s="192" customFormat="1">
      <c r="A51" s="98" t="s">
        <v>30</v>
      </c>
      <c r="B51" s="114"/>
      <c r="C51" s="114"/>
      <c r="D51" s="114"/>
      <c r="E51" s="114">
        <v>18611</v>
      </c>
      <c r="F51" s="114">
        <v>23162.299999999988</v>
      </c>
      <c r="G51" s="115">
        <v>33927</v>
      </c>
      <c r="H51" s="272"/>
      <c r="I51" s="272"/>
      <c r="J51" s="272"/>
      <c r="K51" s="272"/>
      <c r="L51" s="272"/>
      <c r="M51" s="272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272"/>
      <c r="AB51" s="272"/>
      <c r="AC51" s="272"/>
      <c r="AD51" s="272"/>
      <c r="AE51" s="272"/>
      <c r="AF51" s="272"/>
      <c r="AG51" s="272"/>
      <c r="AH51" s="272"/>
      <c r="AI51" s="272"/>
      <c r="AJ51" s="272"/>
      <c r="AK51" s="272"/>
      <c r="AL51" s="272"/>
      <c r="AM51" s="272"/>
      <c r="AN51" s="272"/>
      <c r="AO51" s="272"/>
      <c r="AP51" s="272"/>
      <c r="AQ51" s="272"/>
      <c r="AR51" s="272"/>
      <c r="AS51" s="272"/>
      <c r="AT51" s="272"/>
      <c r="AU51" s="272"/>
      <c r="AV51" s="272"/>
      <c r="AW51" s="272"/>
      <c r="AX51" s="272"/>
      <c r="AY51" s="272"/>
      <c r="AZ51" s="272"/>
      <c r="BA51" s="272"/>
      <c r="BB51" s="272"/>
      <c r="BC51" s="272"/>
      <c r="BD51" s="272"/>
      <c r="BE51" s="272"/>
    </row>
    <row r="52" spans="1:57" s="192" customFormat="1">
      <c r="A52" s="118"/>
      <c r="B52" s="119"/>
      <c r="C52" s="119"/>
      <c r="D52" s="119"/>
      <c r="E52" s="119"/>
      <c r="F52" s="119"/>
      <c r="G52" s="120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72"/>
      <c r="AL52" s="272"/>
      <c r="AM52" s="272"/>
      <c r="AN52" s="272"/>
      <c r="AO52" s="272"/>
      <c r="AP52" s="272"/>
      <c r="AQ52" s="272"/>
      <c r="AR52" s="272"/>
      <c r="AS52" s="272"/>
      <c r="AT52" s="272"/>
      <c r="AU52" s="272"/>
      <c r="AV52" s="272"/>
      <c r="AW52" s="272"/>
      <c r="AX52" s="272"/>
      <c r="AY52" s="272"/>
      <c r="AZ52" s="272"/>
      <c r="BA52" s="272"/>
      <c r="BB52" s="272"/>
      <c r="BC52" s="272"/>
      <c r="BD52" s="272"/>
      <c r="BE52" s="272"/>
    </row>
    <row r="53" spans="1:57" s="192" customFormat="1">
      <c r="A53" s="121"/>
      <c r="B53" s="107"/>
      <c r="C53" s="107"/>
      <c r="D53" s="107"/>
      <c r="E53" s="107"/>
      <c r="F53" s="107"/>
      <c r="G53" s="107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  <c r="AO53" s="272"/>
      <c r="AP53" s="272"/>
      <c r="AQ53" s="272"/>
      <c r="AR53" s="272"/>
      <c r="AS53" s="272"/>
      <c r="AT53" s="272"/>
      <c r="AU53" s="272"/>
      <c r="AV53" s="272"/>
      <c r="AW53" s="272"/>
      <c r="AX53" s="272"/>
      <c r="AY53" s="272"/>
      <c r="AZ53" s="272"/>
      <c r="BA53" s="272"/>
      <c r="BB53" s="272"/>
      <c r="BC53" s="272"/>
      <c r="BD53" s="272"/>
      <c r="BE53" s="272"/>
    </row>
    <row r="54" spans="1:57" s="180" customFormat="1">
      <c r="A54" s="122" t="s">
        <v>73</v>
      </c>
      <c r="B54" s="179"/>
      <c r="C54" s="179"/>
      <c r="D54" s="179">
        <v>2016</v>
      </c>
      <c r="E54" s="179">
        <v>2017</v>
      </c>
      <c r="F54" s="179">
        <v>2018</v>
      </c>
      <c r="G54" s="187">
        <v>2019</v>
      </c>
      <c r="H54" s="270"/>
      <c r="I54" s="270"/>
      <c r="J54" s="270"/>
      <c r="K54" s="270"/>
      <c r="L54" s="270"/>
      <c r="M54" s="270"/>
      <c r="N54" s="270"/>
      <c r="O54" s="270"/>
      <c r="P54" s="270"/>
      <c r="Q54" s="270"/>
      <c r="R54" s="270"/>
      <c r="S54" s="270"/>
      <c r="T54" s="270"/>
      <c r="U54" s="270"/>
      <c r="V54" s="270"/>
      <c r="W54" s="270"/>
      <c r="X54" s="270"/>
      <c r="Y54" s="270"/>
      <c r="Z54" s="270"/>
      <c r="AA54" s="270"/>
      <c r="AB54" s="270"/>
      <c r="AC54" s="270"/>
      <c r="AD54" s="270"/>
      <c r="AE54" s="270"/>
      <c r="AF54" s="270"/>
      <c r="AG54" s="270"/>
      <c r="AH54" s="270"/>
      <c r="AI54" s="270"/>
      <c r="AJ54" s="270"/>
      <c r="AK54" s="270"/>
      <c r="AL54" s="270"/>
      <c r="AM54" s="270"/>
      <c r="AN54" s="270"/>
      <c r="AO54" s="270"/>
      <c r="AP54" s="270"/>
      <c r="AQ54" s="270"/>
      <c r="AR54" s="270"/>
      <c r="AS54" s="270"/>
      <c r="AT54" s="270"/>
      <c r="AU54" s="270"/>
      <c r="AV54" s="270"/>
      <c r="AW54" s="270"/>
      <c r="AX54" s="270"/>
      <c r="AY54" s="270"/>
      <c r="AZ54" s="270"/>
      <c r="BA54" s="270"/>
      <c r="BB54" s="270"/>
      <c r="BC54" s="270"/>
      <c r="BD54" s="270"/>
      <c r="BE54" s="270"/>
    </row>
    <row r="55" spans="1:57" s="20" customFormat="1">
      <c r="A55" s="123"/>
      <c r="B55" s="131"/>
      <c r="C55" s="131"/>
      <c r="D55" s="131"/>
      <c r="E55" s="131"/>
      <c r="F55" s="131"/>
      <c r="G55" s="189"/>
      <c r="H55" s="270"/>
      <c r="I55" s="270"/>
      <c r="J55" s="270"/>
      <c r="K55" s="270"/>
      <c r="L55" s="270"/>
      <c r="M55" s="270"/>
      <c r="N55" s="270"/>
      <c r="O55" s="270"/>
      <c r="P55" s="270"/>
      <c r="Q55" s="270"/>
      <c r="R55" s="270"/>
      <c r="S55" s="270"/>
      <c r="T55" s="270"/>
      <c r="U55" s="270"/>
      <c r="V55" s="270"/>
      <c r="W55" s="270"/>
      <c r="X55" s="270"/>
      <c r="Y55" s="270"/>
      <c r="Z55" s="270"/>
      <c r="AA55" s="270"/>
      <c r="AB55" s="270"/>
      <c r="AC55" s="270"/>
      <c r="AD55" s="270"/>
      <c r="AE55" s="270"/>
      <c r="AF55" s="270"/>
      <c r="AG55" s="270"/>
      <c r="AH55" s="270"/>
      <c r="AI55" s="270"/>
      <c r="AJ55" s="270"/>
      <c r="AK55" s="270"/>
      <c r="AL55" s="270"/>
      <c r="AM55" s="270"/>
      <c r="AN55" s="270"/>
      <c r="AO55" s="270"/>
      <c r="AP55" s="270"/>
      <c r="AQ55" s="270"/>
      <c r="AR55" s="270"/>
      <c r="AS55" s="270"/>
      <c r="AT55" s="270"/>
      <c r="AU55" s="270"/>
      <c r="AV55" s="270"/>
      <c r="AW55" s="270"/>
      <c r="AX55" s="270"/>
      <c r="AY55" s="270"/>
      <c r="AZ55" s="270"/>
      <c r="BA55" s="270"/>
      <c r="BB55" s="270"/>
      <c r="BC55" s="270"/>
      <c r="BD55" s="270"/>
      <c r="BE55" s="270"/>
    </row>
    <row r="56" spans="1:57">
      <c r="A56" s="95" t="s">
        <v>1</v>
      </c>
      <c r="B56" s="125"/>
      <c r="C56" s="125"/>
      <c r="D56" s="125" t="str">
        <f>IF(OR(D5=0, D5="--", C5=0, C5="--"),"--",((D5-C5)/C5)*100)</f>
        <v>--</v>
      </c>
      <c r="E56" s="125" t="s">
        <v>278</v>
      </c>
      <c r="F56" s="125">
        <v>3.5494693795268333</v>
      </c>
      <c r="G56" s="126">
        <v>42.081989097786185</v>
      </c>
    </row>
    <row r="57" spans="1:57">
      <c r="A57" s="95" t="s">
        <v>2</v>
      </c>
      <c r="B57" s="125"/>
      <c r="C57" s="125"/>
      <c r="D57" s="125" t="str">
        <f>IF(OR(D6=0, D6="--", C6=0, C6="--"),"--",((D6-C6)/C6)*100)</f>
        <v>--</v>
      </c>
      <c r="E57" s="125" t="s">
        <v>278</v>
      </c>
      <c r="F57" s="125">
        <v>33.62886677765303</v>
      </c>
      <c r="G57" s="126">
        <v>18.116760828625235</v>
      </c>
    </row>
    <row r="58" spans="1:57">
      <c r="A58" s="182" t="s">
        <v>3</v>
      </c>
      <c r="B58" s="125"/>
      <c r="C58" s="125"/>
      <c r="D58" s="125" t="str">
        <f>IF(OR(D7=0, D7="--", C7=0, C7="--"),"--",((D7-C7)/C7)*100)</f>
        <v>--</v>
      </c>
      <c r="E58" s="125" t="s">
        <v>278</v>
      </c>
      <c r="F58" s="125">
        <v>26.882281066450254</v>
      </c>
      <c r="G58" s="126">
        <v>27.984570636327255</v>
      </c>
    </row>
    <row r="59" spans="1:57">
      <c r="A59" s="182" t="s">
        <v>4</v>
      </c>
      <c r="B59" s="125"/>
      <c r="C59" s="125"/>
      <c r="D59" s="125" t="str">
        <f>IF(OR(D8=0, D8="--", C8=0, C8="--"),"--",((D8-C8)/C8)*100)</f>
        <v>--</v>
      </c>
      <c r="E59" s="125" t="s">
        <v>278</v>
      </c>
      <c r="F59" s="125" t="s">
        <v>278</v>
      </c>
      <c r="G59" s="126" t="s">
        <v>278</v>
      </c>
    </row>
    <row r="60" spans="1:57">
      <c r="A60" s="95" t="s">
        <v>5</v>
      </c>
      <c r="B60" s="125"/>
      <c r="C60" s="125"/>
      <c r="D60" s="125" t="str">
        <f>IF(OR(D9=0, D9="--", C9=0, C9="--"),"--",((D9-C9)/C9)*100)</f>
        <v>--</v>
      </c>
      <c r="E60" s="125" t="s">
        <v>278</v>
      </c>
      <c r="F60" s="125">
        <v>23.084452817336651</v>
      </c>
      <c r="G60" s="126">
        <v>44.216678050847619</v>
      </c>
    </row>
    <row r="61" spans="1:57">
      <c r="A61" s="97" t="s">
        <v>63</v>
      </c>
      <c r="B61" s="125"/>
      <c r="C61" s="125"/>
      <c r="D61" s="125" t="str">
        <f>IF(OR(D10=0, D10="--", C10=0, C10="--"),"--",((D10-C10)/C10)*100)</f>
        <v>--</v>
      </c>
      <c r="E61" s="125" t="s">
        <v>278</v>
      </c>
      <c r="F61" s="125">
        <v>28.532573500841863</v>
      </c>
      <c r="G61" s="126">
        <v>22.055118903667875</v>
      </c>
    </row>
    <row r="62" spans="1:57">
      <c r="A62" s="95" t="s">
        <v>6</v>
      </c>
      <c r="B62" s="125"/>
      <c r="C62" s="125"/>
      <c r="D62" s="125" t="str">
        <f>IF(OR(D11=0, D11="--", C11=0, C11="--"),"--",((D11-C11)/C11)*100)</f>
        <v>--</v>
      </c>
      <c r="E62" s="125" t="s">
        <v>278</v>
      </c>
      <c r="F62" s="125">
        <v>22.876432720992305</v>
      </c>
      <c r="G62" s="126">
        <v>45.10183096522595</v>
      </c>
    </row>
    <row r="63" spans="1:57">
      <c r="A63" s="95" t="s">
        <v>7</v>
      </c>
      <c r="B63" s="125"/>
      <c r="C63" s="125"/>
      <c r="D63" s="125" t="str">
        <f>IF(OR(D12=0, D12="--", C12=0, C12="--"),"--",((D12-C12)/C12)*100)</f>
        <v>--</v>
      </c>
      <c r="E63" s="125" t="s">
        <v>278</v>
      </c>
      <c r="F63" s="125">
        <v>188.90239455451564</v>
      </c>
      <c r="G63" s="126">
        <v>-85.110232245035348</v>
      </c>
    </row>
    <row r="64" spans="1:57">
      <c r="A64" s="95" t="s">
        <v>16</v>
      </c>
      <c r="B64" s="125"/>
      <c r="C64" s="125"/>
      <c r="D64" s="125" t="str">
        <f>IF(OR(D13=0, D13="--", C13=0, C13="--"),"--",((D13-C13)/C13)*100)</f>
        <v>--</v>
      </c>
      <c r="E64" s="125" t="s">
        <v>278</v>
      </c>
      <c r="F64" s="125">
        <v>35.263240609775266</v>
      </c>
      <c r="G64" s="126">
        <v>32.021192545429194</v>
      </c>
    </row>
    <row r="65" spans="1:57">
      <c r="A65" s="98" t="s">
        <v>8</v>
      </c>
      <c r="B65" s="125"/>
      <c r="C65" s="125"/>
      <c r="D65" s="125" t="str">
        <f>IF(OR(D14=0, D14="--", C14=0, C14="--"),"--",((D14-C14)/C14)*100)</f>
        <v>--</v>
      </c>
      <c r="E65" s="125" t="s">
        <v>278</v>
      </c>
      <c r="F65" s="125">
        <v>-31.720633003748709</v>
      </c>
      <c r="G65" s="126">
        <v>22.589262684697299</v>
      </c>
    </row>
    <row r="66" spans="1:57">
      <c r="A66" s="124" t="str">
        <f>A15</f>
        <v>Total de l'actif (en millions de FCFA)</v>
      </c>
      <c r="B66" s="125"/>
      <c r="C66" s="125"/>
      <c r="D66" s="125" t="str">
        <f>IF(OR(D15=0, D15="--", C15=0, C15="--"),"--",((D15-C15)/C15)*100)</f>
        <v>--</v>
      </c>
      <c r="E66" s="125" t="s">
        <v>278</v>
      </c>
      <c r="F66" s="125">
        <v>22.00460282500033</v>
      </c>
      <c r="G66" s="126">
        <v>35.658386801942108</v>
      </c>
    </row>
    <row r="67" spans="1:57">
      <c r="A67" s="124"/>
      <c r="B67" s="125"/>
      <c r="C67" s="125"/>
      <c r="D67" s="125"/>
      <c r="E67" s="125"/>
      <c r="F67" s="125"/>
      <c r="G67" s="126"/>
    </row>
    <row r="68" spans="1:57" s="20" customFormat="1">
      <c r="A68" s="127"/>
      <c r="B68" s="193"/>
      <c r="C68" s="193"/>
      <c r="D68" s="193"/>
      <c r="E68" s="193"/>
      <c r="F68" s="193"/>
      <c r="G68" s="194"/>
      <c r="H68" s="270"/>
      <c r="I68" s="270"/>
      <c r="J68" s="270"/>
      <c r="K68" s="270"/>
      <c r="L68" s="270"/>
      <c r="M68" s="270"/>
      <c r="N68" s="270"/>
      <c r="O68" s="270"/>
      <c r="P68" s="270"/>
      <c r="Q68" s="270"/>
      <c r="R68" s="270"/>
      <c r="S68" s="270"/>
      <c r="T68" s="270"/>
      <c r="U68" s="270"/>
      <c r="V68" s="270"/>
      <c r="W68" s="270"/>
      <c r="X68" s="270"/>
      <c r="Y68" s="270"/>
      <c r="Z68" s="270"/>
      <c r="AA68" s="270"/>
      <c r="AB68" s="270"/>
      <c r="AC68" s="270"/>
      <c r="AD68" s="270"/>
      <c r="AE68" s="270"/>
      <c r="AF68" s="270"/>
      <c r="AG68" s="270"/>
      <c r="AH68" s="270"/>
      <c r="AI68" s="270"/>
      <c r="AJ68" s="270"/>
      <c r="AK68" s="270"/>
      <c r="AL68" s="270"/>
      <c r="AM68" s="270"/>
      <c r="AN68" s="270"/>
      <c r="AO68" s="270"/>
      <c r="AP68" s="270"/>
      <c r="AQ68" s="270"/>
      <c r="AR68" s="270"/>
      <c r="AS68" s="270"/>
      <c r="AT68" s="270"/>
      <c r="AU68" s="270"/>
      <c r="AV68" s="270"/>
      <c r="AW68" s="270"/>
      <c r="AX68" s="270"/>
      <c r="AY68" s="270"/>
      <c r="AZ68" s="270"/>
      <c r="BA68" s="270"/>
      <c r="BB68" s="270"/>
      <c r="BC68" s="270"/>
      <c r="BD68" s="270"/>
      <c r="BE68" s="270"/>
    </row>
    <row r="69" spans="1:57">
      <c r="A69" s="98" t="s">
        <v>9</v>
      </c>
      <c r="B69" s="125"/>
      <c r="C69" s="125"/>
      <c r="D69" s="125" t="str">
        <f>IF(OR(D17=0, D17="--", C17=0, C17="--"),"--",((D17-C17)/C17)*100)</f>
        <v>--</v>
      </c>
      <c r="E69" s="125" t="s">
        <v>278</v>
      </c>
      <c r="F69" s="125">
        <v>16.169396449933846</v>
      </c>
      <c r="G69" s="126">
        <v>39.234780639220581</v>
      </c>
    </row>
    <row r="70" spans="1:57">
      <c r="A70" s="98" t="s">
        <v>10</v>
      </c>
      <c r="B70" s="125"/>
      <c r="C70" s="125"/>
      <c r="D70" s="125" t="str">
        <f>IF(OR(D18=0, D18="--", C18=0, C18="--"),"--",((D18-C18)/C18)*100)</f>
        <v>--</v>
      </c>
      <c r="E70" s="125" t="s">
        <v>278</v>
      </c>
      <c r="F70" s="125">
        <v>36.31883965673709</v>
      </c>
      <c r="G70" s="126">
        <v>34.740122595250753</v>
      </c>
    </row>
    <row r="71" spans="1:57">
      <c r="A71" s="104" t="s">
        <v>11</v>
      </c>
      <c r="B71" s="125"/>
      <c r="C71" s="125"/>
      <c r="D71" s="125" t="str">
        <f>IF(OR(D19=0, D19="--", C19=0, C19="--"),"--",((D19-C19)/C19)*100)</f>
        <v>--</v>
      </c>
      <c r="E71" s="125" t="s">
        <v>278</v>
      </c>
      <c r="F71" s="125">
        <v>3771.5000000000005</v>
      </c>
      <c r="G71" s="126">
        <v>3.2287227172930386E-3</v>
      </c>
    </row>
    <row r="72" spans="1:57">
      <c r="A72" s="98" t="s">
        <v>12</v>
      </c>
      <c r="B72" s="125"/>
      <c r="C72" s="125"/>
      <c r="D72" s="125" t="str">
        <f>IF(OR(D20=0, D20="--", C20=0, C20="--"),"--",((D20-C20)/C20)*100)</f>
        <v>--</v>
      </c>
      <c r="E72" s="125" t="s">
        <v>278</v>
      </c>
      <c r="F72" s="125">
        <v>-14.269058479412546</v>
      </c>
      <c r="G72" s="126">
        <v>59.470808579676948</v>
      </c>
    </row>
    <row r="73" spans="1:57">
      <c r="A73" s="98" t="s">
        <v>17</v>
      </c>
      <c r="B73" s="125"/>
      <c r="C73" s="125"/>
      <c r="D73" s="125" t="str">
        <f>IF(OR(D21=0, D21="--", C21=0, C21="--"),"--",((D21-C21)/C21)*100)</f>
        <v>--</v>
      </c>
      <c r="E73" s="125" t="s">
        <v>278</v>
      </c>
      <c r="F73" s="125">
        <v>22.89774917904197</v>
      </c>
      <c r="G73" s="126">
        <v>37.626568585028124</v>
      </c>
    </row>
    <row r="74" spans="1:57">
      <c r="A74" s="98" t="s">
        <v>13</v>
      </c>
      <c r="B74" s="125"/>
      <c r="C74" s="125"/>
      <c r="D74" s="125" t="str">
        <f>IF(OR(D22=0, D22="--", C22=0, C22="--"),"--",((D22-C22)/C22)*100)</f>
        <v>--</v>
      </c>
      <c r="E74" s="125" t="s">
        <v>278</v>
      </c>
      <c r="F74" s="125" t="s">
        <v>278</v>
      </c>
      <c r="G74" s="126" t="s">
        <v>278</v>
      </c>
    </row>
    <row r="75" spans="1:57">
      <c r="A75" s="98" t="s">
        <v>14</v>
      </c>
      <c r="B75" s="125"/>
      <c r="C75" s="125"/>
      <c r="D75" s="125" t="str">
        <f>IF(OR(D23=0, D23="--", C23=0, C23="--"),"--",((D23-C23)/C23)*100)</f>
        <v>--</v>
      </c>
      <c r="E75" s="125" t="s">
        <v>278</v>
      </c>
      <c r="F75" s="125">
        <v>5.45977455816183</v>
      </c>
      <c r="G75" s="126">
        <v>21.028092194006216</v>
      </c>
    </row>
    <row r="76" spans="1:57">
      <c r="A76" s="104" t="s">
        <v>55</v>
      </c>
      <c r="B76" s="125"/>
      <c r="C76" s="125"/>
      <c r="D76" s="125" t="str">
        <f>IF(OR(D24=0, D24="--", C24=0, C24="--"),"--",((D24-C24)/C24)*100)</f>
        <v>--</v>
      </c>
      <c r="E76" s="125" t="s">
        <v>278</v>
      </c>
      <c r="F76" s="125">
        <v>-21.248789932236207</v>
      </c>
      <c r="G76" s="126">
        <v>24.462200368776891</v>
      </c>
    </row>
    <row r="77" spans="1:57">
      <c r="A77" s="98" t="s">
        <v>54</v>
      </c>
      <c r="B77" s="125"/>
      <c r="C77" s="125"/>
      <c r="D77" s="125" t="str">
        <f>IF(OR(D25=0, D25="--", C25=0, C25="--"),"--",((D25-C25)/C25)*100)</f>
        <v>--</v>
      </c>
      <c r="E77" s="125" t="s">
        <v>278</v>
      </c>
      <c r="F77" s="125">
        <v>21.484110003652873</v>
      </c>
      <c r="G77" s="126">
        <v>16.25257731958763</v>
      </c>
    </row>
    <row r="78" spans="1:57">
      <c r="A78" s="98" t="s">
        <v>56</v>
      </c>
      <c r="B78" s="125"/>
      <c r="C78" s="125"/>
      <c r="D78" s="125" t="str">
        <f>IF(OR(D26=0, D26="--", C26=0, C26="--"),"--",((D26-C26)/C26)*100)</f>
        <v>--</v>
      </c>
      <c r="E78" s="125" t="s">
        <v>278</v>
      </c>
      <c r="F78" s="125">
        <v>14.565621270470119</v>
      </c>
      <c r="G78" s="126">
        <v>18.073253110384417</v>
      </c>
    </row>
    <row r="79" spans="1:57">
      <c r="A79" s="124" t="str">
        <f>A27</f>
        <v>Total du passif</v>
      </c>
      <c r="B79" s="125"/>
      <c r="C79" s="125"/>
      <c r="D79" s="125" t="str">
        <f>IF(OR(D27=0, D27="--", C27=0, C27="--"),"--",((D27-C27)/C27)*100)</f>
        <v>--</v>
      </c>
      <c r="E79" s="125" t="s">
        <v>278</v>
      </c>
      <c r="F79" s="125">
        <v>22.00460282500033</v>
      </c>
      <c r="G79" s="126">
        <v>35.658386801942108</v>
      </c>
    </row>
    <row r="80" spans="1:57" s="20" customFormat="1">
      <c r="A80" s="195"/>
      <c r="B80" s="196"/>
      <c r="C80" s="196"/>
      <c r="D80" s="196"/>
      <c r="E80" s="196"/>
      <c r="F80" s="196"/>
      <c r="G80" s="197"/>
      <c r="H80" s="270"/>
      <c r="I80" s="270"/>
      <c r="J80" s="270"/>
      <c r="K80" s="270"/>
      <c r="L80" s="270"/>
      <c r="M80" s="270"/>
      <c r="N80" s="270"/>
      <c r="O80" s="270"/>
      <c r="P80" s="270"/>
      <c r="Q80" s="270"/>
      <c r="R80" s="270"/>
      <c r="S80" s="270"/>
      <c r="T80" s="270"/>
      <c r="U80" s="270"/>
      <c r="V80" s="270"/>
      <c r="W80" s="270"/>
      <c r="X80" s="270"/>
      <c r="Y80" s="270"/>
      <c r="Z80" s="270"/>
      <c r="AA80" s="270"/>
      <c r="AB80" s="270"/>
      <c r="AC80" s="270"/>
      <c r="AD80" s="270"/>
      <c r="AE80" s="270"/>
      <c r="AF80" s="270"/>
      <c r="AG80" s="270"/>
      <c r="AH80" s="270"/>
      <c r="AI80" s="270"/>
      <c r="AJ80" s="270"/>
      <c r="AK80" s="270"/>
      <c r="AL80" s="270"/>
      <c r="AM80" s="270"/>
      <c r="AN80" s="270"/>
      <c r="AO80" s="270"/>
      <c r="AP80" s="270"/>
      <c r="AQ80" s="270"/>
      <c r="AR80" s="270"/>
      <c r="AS80" s="270"/>
      <c r="AT80" s="270"/>
      <c r="AU80" s="270"/>
      <c r="AV80" s="270"/>
      <c r="AW80" s="270"/>
      <c r="AX80" s="270"/>
      <c r="AY80" s="270"/>
      <c r="AZ80" s="270"/>
      <c r="BA80" s="270"/>
      <c r="BB80" s="270"/>
      <c r="BC80" s="270"/>
      <c r="BD80" s="270"/>
      <c r="BE80" s="270"/>
    </row>
    <row r="81" spans="1:57">
      <c r="A81" s="93"/>
      <c r="B81" s="93"/>
      <c r="C81" s="93"/>
      <c r="D81" s="93"/>
      <c r="E81" s="93"/>
      <c r="F81" s="93"/>
      <c r="G81" s="93"/>
    </row>
    <row r="82" spans="1:57" s="180" customFormat="1">
      <c r="A82" s="122" t="s">
        <v>74</v>
      </c>
      <c r="B82" s="179"/>
      <c r="C82" s="179"/>
      <c r="D82" s="179">
        <v>2016</v>
      </c>
      <c r="E82" s="179">
        <v>2017</v>
      </c>
      <c r="F82" s="179">
        <v>2018</v>
      </c>
      <c r="G82" s="187">
        <v>2019</v>
      </c>
      <c r="H82" s="270"/>
      <c r="I82" s="270"/>
      <c r="J82" s="270"/>
      <c r="K82" s="270"/>
      <c r="L82" s="270"/>
      <c r="M82" s="270"/>
      <c r="N82" s="270"/>
      <c r="O82" s="270"/>
      <c r="P82" s="270"/>
      <c r="Q82" s="270"/>
      <c r="R82" s="270"/>
      <c r="S82" s="270"/>
      <c r="T82" s="270"/>
      <c r="U82" s="270"/>
      <c r="V82" s="270"/>
      <c r="W82" s="270"/>
      <c r="X82" s="270"/>
      <c r="Y82" s="270"/>
      <c r="Z82" s="270"/>
      <c r="AA82" s="270"/>
      <c r="AB82" s="270"/>
      <c r="AC82" s="270"/>
      <c r="AD82" s="270"/>
      <c r="AE82" s="270"/>
      <c r="AF82" s="270"/>
      <c r="AG82" s="270"/>
      <c r="AH82" s="270"/>
      <c r="AI82" s="270"/>
      <c r="AJ82" s="270"/>
      <c r="AK82" s="270"/>
      <c r="AL82" s="270"/>
      <c r="AM82" s="270"/>
      <c r="AN82" s="270"/>
      <c r="AO82" s="270"/>
      <c r="AP82" s="270"/>
      <c r="AQ82" s="270"/>
      <c r="AR82" s="270"/>
      <c r="AS82" s="270"/>
      <c r="AT82" s="270"/>
      <c r="AU82" s="270"/>
      <c r="AV82" s="270"/>
      <c r="AW82" s="270"/>
      <c r="AX82" s="270"/>
      <c r="AY82" s="270"/>
      <c r="AZ82" s="270"/>
      <c r="BA82" s="270"/>
      <c r="BB82" s="270"/>
      <c r="BC82" s="270"/>
      <c r="BD82" s="270"/>
      <c r="BE82" s="270"/>
    </row>
    <row r="83" spans="1:57" s="20" customFormat="1">
      <c r="A83" s="123"/>
      <c r="B83" s="131"/>
      <c r="C83" s="131"/>
      <c r="D83" s="131"/>
      <c r="E83" s="131"/>
      <c r="F83" s="131"/>
      <c r="G83" s="189"/>
      <c r="H83" s="270"/>
      <c r="I83" s="270"/>
      <c r="J83" s="270"/>
      <c r="K83" s="270"/>
      <c r="L83" s="270"/>
      <c r="M83" s="270"/>
      <c r="N83" s="270"/>
      <c r="O83" s="270"/>
      <c r="P83" s="270"/>
      <c r="Q83" s="270"/>
      <c r="R83" s="270"/>
      <c r="S83" s="270"/>
      <c r="T83" s="270"/>
      <c r="U83" s="270"/>
      <c r="V83" s="270"/>
      <c r="W83" s="270"/>
      <c r="X83" s="270"/>
      <c r="Y83" s="270"/>
      <c r="Z83" s="270"/>
      <c r="AA83" s="270"/>
      <c r="AB83" s="270"/>
      <c r="AC83" s="270"/>
      <c r="AD83" s="270"/>
      <c r="AE83" s="270"/>
      <c r="AF83" s="270"/>
      <c r="AG83" s="270"/>
      <c r="AH83" s="270"/>
      <c r="AI83" s="270"/>
      <c r="AJ83" s="270"/>
      <c r="AK83" s="270"/>
      <c r="AL83" s="270"/>
      <c r="AM83" s="270"/>
      <c r="AN83" s="270"/>
      <c r="AO83" s="270"/>
      <c r="AP83" s="270"/>
      <c r="AQ83" s="270"/>
      <c r="AR83" s="270"/>
      <c r="AS83" s="270"/>
      <c r="AT83" s="270"/>
      <c r="AU83" s="270"/>
      <c r="AV83" s="270"/>
      <c r="AW83" s="270"/>
      <c r="AX83" s="270"/>
      <c r="AY83" s="270"/>
      <c r="AZ83" s="270"/>
      <c r="BA83" s="270"/>
      <c r="BB83" s="270"/>
      <c r="BC83" s="270"/>
      <c r="BD83" s="270"/>
      <c r="BE83" s="270"/>
    </row>
    <row r="84" spans="1:57">
      <c r="A84" s="130" t="s">
        <v>18</v>
      </c>
      <c r="B84" s="125"/>
      <c r="C84" s="125"/>
      <c r="D84" s="125" t="str">
        <f t="shared" ref="D84:G104" si="0">IF(OR(D31=0,D31="--",C31=0,C31="--",AND(D31&gt;0,C31&lt;0)),"--",(((D31-C31)/C31)*100))</f>
        <v>--</v>
      </c>
      <c r="E84" s="125" t="s">
        <v>278</v>
      </c>
      <c r="F84" s="125">
        <v>23.435929293499747</v>
      </c>
      <c r="G84" s="126">
        <v>24.737381501409171</v>
      </c>
    </row>
    <row r="85" spans="1:57">
      <c r="A85" s="130" t="s">
        <v>19</v>
      </c>
      <c r="B85" s="125"/>
      <c r="C85" s="125"/>
      <c r="D85" s="125" t="str">
        <f t="shared" si="0"/>
        <v>--</v>
      </c>
      <c r="E85" s="125" t="s">
        <v>278</v>
      </c>
      <c r="F85" s="125">
        <v>18.931988080924249</v>
      </c>
      <c r="G85" s="126">
        <v>23.493989143095757</v>
      </c>
    </row>
    <row r="86" spans="1:57">
      <c r="A86" s="130" t="s">
        <v>20</v>
      </c>
      <c r="B86" s="125"/>
      <c r="C86" s="125"/>
      <c r="D86" s="125" t="str">
        <f t="shared" si="0"/>
        <v>--</v>
      </c>
      <c r="E86" s="125" t="s">
        <v>278</v>
      </c>
      <c r="F86" s="125">
        <v>26.863177993913716</v>
      </c>
      <c r="G86" s="126">
        <v>25.624382672498943</v>
      </c>
    </row>
    <row r="87" spans="1:57">
      <c r="A87" s="130" t="s">
        <v>31</v>
      </c>
      <c r="B87" s="125"/>
      <c r="C87" s="125"/>
      <c r="D87" s="125" t="str">
        <f t="shared" si="0"/>
        <v>--</v>
      </c>
      <c r="E87" s="125" t="s">
        <v>278</v>
      </c>
      <c r="F87" s="125" t="s">
        <v>278</v>
      </c>
      <c r="G87" s="126" t="s">
        <v>278</v>
      </c>
    </row>
    <row r="88" spans="1:57">
      <c r="A88" s="130" t="s">
        <v>21</v>
      </c>
      <c r="B88" s="125"/>
      <c r="C88" s="125"/>
      <c r="D88" s="125" t="str">
        <f t="shared" si="0"/>
        <v>--</v>
      </c>
      <c r="E88" s="125" t="s">
        <v>278</v>
      </c>
      <c r="F88" s="125">
        <v>886.76156583629893</v>
      </c>
      <c r="G88" s="126">
        <v>-18.205424120023086</v>
      </c>
    </row>
    <row r="89" spans="1:57">
      <c r="A89" s="130" t="s">
        <v>33</v>
      </c>
      <c r="B89" s="125"/>
      <c r="C89" s="125"/>
      <c r="D89" s="125" t="str">
        <f t="shared" si="0"/>
        <v>--</v>
      </c>
      <c r="E89" s="125" t="s">
        <v>278</v>
      </c>
      <c r="F89" s="125">
        <v>-2.7793509039425039</v>
      </c>
      <c r="G89" s="126">
        <v>60.527848725187091</v>
      </c>
    </row>
    <row r="90" spans="1:57">
      <c r="A90" s="130" t="s">
        <v>34</v>
      </c>
      <c r="B90" s="125"/>
      <c r="C90" s="125"/>
      <c r="D90" s="125" t="str">
        <f t="shared" si="0"/>
        <v>--</v>
      </c>
      <c r="E90" s="125" t="s">
        <v>278</v>
      </c>
      <c r="F90" s="125">
        <v>-23.656236605229321</v>
      </c>
      <c r="G90" s="126">
        <v>-14.491044859918023</v>
      </c>
    </row>
    <row r="91" spans="1:57">
      <c r="A91" s="130" t="s">
        <v>32</v>
      </c>
      <c r="B91" s="125"/>
      <c r="C91" s="125"/>
      <c r="D91" s="125" t="str">
        <f t="shared" si="0"/>
        <v>--</v>
      </c>
      <c r="E91" s="125" t="s">
        <v>278</v>
      </c>
      <c r="F91" s="125">
        <v>18.445364316289549</v>
      </c>
      <c r="G91" s="126">
        <v>37.881597915831051</v>
      </c>
    </row>
    <row r="92" spans="1:57">
      <c r="A92" s="130" t="s">
        <v>22</v>
      </c>
      <c r="B92" s="125"/>
      <c r="C92" s="125"/>
      <c r="D92" s="125" t="str">
        <f t="shared" si="0"/>
        <v>--</v>
      </c>
      <c r="E92" s="125" t="s">
        <v>278</v>
      </c>
      <c r="F92" s="125">
        <v>24.361580183404143</v>
      </c>
      <c r="G92" s="126">
        <v>29.093682451078156</v>
      </c>
    </row>
    <row r="93" spans="1:57">
      <c r="A93" s="130" t="s">
        <v>23</v>
      </c>
      <c r="B93" s="125"/>
      <c r="C93" s="125"/>
      <c r="D93" s="125" t="str">
        <f t="shared" si="0"/>
        <v>--</v>
      </c>
      <c r="E93" s="125" t="s">
        <v>278</v>
      </c>
      <c r="F93" s="125" t="s">
        <v>278</v>
      </c>
      <c r="G93" s="126" t="s">
        <v>278</v>
      </c>
    </row>
    <row r="94" spans="1:57">
      <c r="A94" s="130" t="s">
        <v>25</v>
      </c>
      <c r="B94" s="125"/>
      <c r="C94" s="125"/>
      <c r="D94" s="125" t="str">
        <f t="shared" si="0"/>
        <v>--</v>
      </c>
      <c r="E94" s="125" t="s">
        <v>278</v>
      </c>
      <c r="F94" s="125">
        <v>34.91396295809799</v>
      </c>
      <c r="G94" s="126">
        <v>30.156102943562779</v>
      </c>
    </row>
    <row r="95" spans="1:57">
      <c r="A95" s="130" t="s">
        <v>75</v>
      </c>
      <c r="B95" s="125"/>
      <c r="C95" s="125"/>
      <c r="D95" s="125" t="str">
        <f t="shared" si="0"/>
        <v>--</v>
      </c>
      <c r="E95" s="125" t="s">
        <v>278</v>
      </c>
      <c r="F95" s="125">
        <v>33.363865353789784</v>
      </c>
      <c r="G95" s="126">
        <v>-16.775412087912088</v>
      </c>
    </row>
    <row r="96" spans="1:57">
      <c r="A96" s="130" t="s">
        <v>24</v>
      </c>
      <c r="B96" s="125"/>
      <c r="C96" s="125"/>
      <c r="D96" s="125" t="str">
        <f t="shared" si="0"/>
        <v>--</v>
      </c>
      <c r="E96" s="125" t="s">
        <v>278</v>
      </c>
      <c r="F96" s="125">
        <v>34.665147393957213</v>
      </c>
      <c r="G96" s="126">
        <v>22.695635559680106</v>
      </c>
    </row>
    <row r="97" spans="1:57">
      <c r="A97" s="130" t="s">
        <v>35</v>
      </c>
      <c r="B97" s="125"/>
      <c r="C97" s="125"/>
      <c r="D97" s="125" t="str">
        <f t="shared" si="0"/>
        <v>--</v>
      </c>
      <c r="E97" s="125" t="s">
        <v>278</v>
      </c>
      <c r="F97" s="125">
        <v>18.038123167155398</v>
      </c>
      <c r="G97" s="126">
        <v>33.573365592445889</v>
      </c>
    </row>
    <row r="98" spans="1:57">
      <c r="A98" s="130" t="s">
        <v>64</v>
      </c>
      <c r="B98" s="125"/>
      <c r="C98" s="125"/>
      <c r="D98" s="125" t="str">
        <f t="shared" si="0"/>
        <v>--</v>
      </c>
      <c r="E98" s="125" t="s">
        <v>278</v>
      </c>
      <c r="F98" s="125">
        <v>9.7174465540439528E-2</v>
      </c>
      <c r="G98" s="126">
        <v>-0.26136957658128596</v>
      </c>
    </row>
    <row r="99" spans="1:57">
      <c r="A99" s="130" t="s">
        <v>26</v>
      </c>
      <c r="B99" s="125"/>
      <c r="C99" s="125"/>
      <c r="D99" s="125" t="str">
        <f t="shared" si="0"/>
        <v>--</v>
      </c>
      <c r="E99" s="125" t="s">
        <v>278</v>
      </c>
      <c r="F99" s="125">
        <v>-15.954664341761116</v>
      </c>
      <c r="G99" s="126">
        <v>22.925311203319502</v>
      </c>
    </row>
    <row r="100" spans="1:57">
      <c r="A100" s="130" t="s">
        <v>27</v>
      </c>
      <c r="B100" s="125"/>
      <c r="C100" s="125"/>
      <c r="D100" s="125" t="str">
        <f t="shared" si="0"/>
        <v>--</v>
      </c>
      <c r="E100" s="125" t="s">
        <v>278</v>
      </c>
      <c r="F100" s="125">
        <v>22.911929254647141</v>
      </c>
      <c r="G100" s="126">
        <v>44.15869496589854</v>
      </c>
    </row>
    <row r="101" spans="1:57">
      <c r="A101" s="130" t="s">
        <v>28</v>
      </c>
      <c r="B101" s="125"/>
      <c r="C101" s="125"/>
      <c r="D101" s="125" t="str">
        <f t="shared" si="0"/>
        <v>--</v>
      </c>
      <c r="E101" s="125" t="s">
        <v>278</v>
      </c>
      <c r="F101" s="125">
        <v>31.553249923710712</v>
      </c>
      <c r="G101" s="126">
        <v>52.07608443516586</v>
      </c>
    </row>
    <row r="102" spans="1:57">
      <c r="A102" s="130" t="s">
        <v>29</v>
      </c>
      <c r="B102" s="125"/>
      <c r="C102" s="125"/>
      <c r="D102" s="125" t="str">
        <f t="shared" si="0"/>
        <v>--</v>
      </c>
      <c r="E102" s="125" t="s">
        <v>278</v>
      </c>
      <c r="F102" s="125">
        <v>21.967032600353658</v>
      </c>
      <c r="G102" s="126">
        <v>43.224913343346429</v>
      </c>
    </row>
    <row r="103" spans="1:57">
      <c r="A103" s="104" t="str">
        <f>A50</f>
        <v>Intérêts minoritaires</v>
      </c>
      <c r="B103" s="198"/>
      <c r="C103" s="125"/>
      <c r="D103" s="125" t="str">
        <f t="shared" si="0"/>
        <v>--</v>
      </c>
      <c r="E103" s="125" t="s">
        <v>278</v>
      </c>
      <c r="F103" s="125">
        <v>17.890473674942772</v>
      </c>
      <c r="G103" s="126">
        <v>37.602688573562361</v>
      </c>
    </row>
    <row r="104" spans="1:57">
      <c r="A104" s="199" t="str">
        <f>A51</f>
        <v>Résultat net, part du Groupe</v>
      </c>
      <c r="B104" s="200"/>
      <c r="C104" s="128"/>
      <c r="D104" s="128" t="str">
        <f t="shared" si="0"/>
        <v>--</v>
      </c>
      <c r="E104" s="128" t="s">
        <v>278</v>
      </c>
      <c r="F104" s="128">
        <v>24.454892268013477</v>
      </c>
      <c r="G104" s="129">
        <v>46.475090988373424</v>
      </c>
    </row>
    <row r="105" spans="1:57">
      <c r="A105" s="93"/>
      <c r="B105" s="93"/>
      <c r="C105" s="93"/>
      <c r="D105" s="93"/>
      <c r="E105" s="93"/>
      <c r="F105" s="93"/>
      <c r="G105" s="93"/>
    </row>
    <row r="106" spans="1:57" s="180" customFormat="1">
      <c r="A106" s="122" t="s">
        <v>36</v>
      </c>
      <c r="B106" s="179"/>
      <c r="C106" s="179"/>
      <c r="D106" s="179">
        <v>2016</v>
      </c>
      <c r="E106" s="179">
        <v>2017</v>
      </c>
      <c r="F106" s="179">
        <v>2018</v>
      </c>
      <c r="G106" s="187">
        <v>2019</v>
      </c>
      <c r="H106" s="270"/>
      <c r="I106" s="270"/>
      <c r="J106" s="270"/>
      <c r="K106" s="270"/>
      <c r="L106" s="270"/>
      <c r="M106" s="270"/>
      <c r="N106" s="270"/>
      <c r="O106" s="270"/>
      <c r="P106" s="270"/>
      <c r="Q106" s="270"/>
      <c r="R106" s="270"/>
      <c r="S106" s="270"/>
      <c r="T106" s="270"/>
      <c r="U106" s="270"/>
      <c r="V106" s="270"/>
      <c r="W106" s="270"/>
      <c r="X106" s="270"/>
      <c r="Y106" s="270"/>
      <c r="Z106" s="270"/>
      <c r="AA106" s="270"/>
      <c r="AB106" s="270"/>
      <c r="AC106" s="270"/>
      <c r="AD106" s="270"/>
      <c r="AE106" s="270"/>
      <c r="AF106" s="270"/>
      <c r="AG106" s="270"/>
      <c r="AH106" s="270"/>
      <c r="AI106" s="270"/>
      <c r="AJ106" s="270"/>
      <c r="AK106" s="270"/>
      <c r="AL106" s="270"/>
      <c r="AM106" s="270"/>
      <c r="AN106" s="270"/>
      <c r="AO106" s="270"/>
      <c r="AP106" s="270"/>
      <c r="AQ106" s="270"/>
      <c r="AR106" s="270"/>
      <c r="AS106" s="270"/>
      <c r="AT106" s="270"/>
      <c r="AU106" s="270"/>
      <c r="AV106" s="270"/>
      <c r="AW106" s="270"/>
      <c r="AX106" s="270"/>
      <c r="AY106" s="270"/>
      <c r="AZ106" s="270"/>
      <c r="BA106" s="270"/>
      <c r="BB106" s="270"/>
      <c r="BC106" s="270"/>
      <c r="BD106" s="270"/>
      <c r="BE106" s="270"/>
    </row>
    <row r="107" spans="1:57" s="20" customFormat="1">
      <c r="A107" s="123"/>
      <c r="B107" s="131"/>
      <c r="C107" s="131"/>
      <c r="D107" s="131"/>
      <c r="E107" s="131"/>
      <c r="F107" s="131"/>
      <c r="G107" s="189"/>
      <c r="H107" s="270"/>
      <c r="I107" s="270"/>
      <c r="J107" s="270"/>
      <c r="K107" s="270"/>
      <c r="L107" s="270"/>
      <c r="M107" s="270"/>
      <c r="N107" s="270"/>
      <c r="O107" s="270"/>
      <c r="P107" s="270"/>
      <c r="Q107" s="270"/>
      <c r="R107" s="270"/>
      <c r="S107" s="270"/>
      <c r="T107" s="270"/>
      <c r="U107" s="270"/>
      <c r="V107" s="270"/>
      <c r="W107" s="270"/>
      <c r="X107" s="270"/>
      <c r="Y107" s="270"/>
      <c r="Z107" s="270"/>
      <c r="AA107" s="270"/>
      <c r="AB107" s="270"/>
      <c r="AC107" s="270"/>
      <c r="AD107" s="270"/>
      <c r="AE107" s="270"/>
      <c r="AF107" s="270"/>
      <c r="AG107" s="270"/>
      <c r="AH107" s="270"/>
      <c r="AI107" s="270"/>
      <c r="AJ107" s="270"/>
      <c r="AK107" s="270"/>
      <c r="AL107" s="270"/>
      <c r="AM107" s="270"/>
      <c r="AN107" s="270"/>
      <c r="AO107" s="270"/>
      <c r="AP107" s="270"/>
      <c r="AQ107" s="270"/>
      <c r="AR107" s="270"/>
      <c r="AS107" s="270"/>
      <c r="AT107" s="270"/>
      <c r="AU107" s="270"/>
      <c r="AV107" s="270"/>
      <c r="AW107" s="270"/>
      <c r="AX107" s="270"/>
      <c r="AY107" s="270"/>
      <c r="AZ107" s="270"/>
      <c r="BA107" s="270"/>
      <c r="BB107" s="270"/>
      <c r="BC107" s="270"/>
      <c r="BD107" s="270"/>
      <c r="BE107" s="270"/>
    </row>
    <row r="108" spans="1:57">
      <c r="A108" s="95" t="s">
        <v>1</v>
      </c>
      <c r="B108" s="132"/>
      <c r="C108" s="132"/>
      <c r="D108" s="132" t="str">
        <f>IF( OR( D5=0, D5="--", D$15=0, D$15="--"), "--", D5/D$15*100)</f>
        <v>--</v>
      </c>
      <c r="E108" s="132">
        <v>4.5795471031217438</v>
      </c>
      <c r="F108" s="132">
        <v>3.8868178867562699</v>
      </c>
      <c r="G108" s="201">
        <v>4.0708638045169403</v>
      </c>
    </row>
    <row r="109" spans="1:57">
      <c r="A109" s="95" t="s">
        <v>2</v>
      </c>
      <c r="B109" s="132"/>
      <c r="C109" s="132"/>
      <c r="D109" s="132" t="str">
        <f>IF( OR( D6=0, D6="--", D$15=0, D$15="--"), "--", D6/D$15*100)</f>
        <v>--</v>
      </c>
      <c r="E109" s="132">
        <v>5.1097292378302104</v>
      </c>
      <c r="F109" s="132">
        <v>5.5965702258896712</v>
      </c>
      <c r="G109" s="201">
        <v>4.8728925827278937</v>
      </c>
    </row>
    <row r="110" spans="1:57">
      <c r="A110" s="182" t="s">
        <v>3</v>
      </c>
      <c r="B110" s="132"/>
      <c r="C110" s="132"/>
      <c r="D110" s="132" t="str">
        <f>IF( OR( D7=0, D7="--", D$15=0, D$15="--"), "--", D7/D$15*100)</f>
        <v>--</v>
      </c>
      <c r="E110" s="132">
        <v>29.089260514619575</v>
      </c>
      <c r="F110" s="132">
        <v>30.252233466349505</v>
      </c>
      <c r="G110" s="201">
        <v>28.540949087308782</v>
      </c>
    </row>
    <row r="111" spans="1:57">
      <c r="A111" s="182" t="s">
        <v>4</v>
      </c>
      <c r="B111" s="132"/>
      <c r="C111" s="132"/>
      <c r="D111" s="132" t="str">
        <f>IF( OR( D8=0, D8="--", D$15=0, D$15="--"), "--", D8/D$15*100)</f>
        <v>--</v>
      </c>
      <c r="E111" s="132" t="s">
        <v>278</v>
      </c>
      <c r="F111" s="132" t="s">
        <v>278</v>
      </c>
      <c r="G111" s="201" t="s">
        <v>278</v>
      </c>
    </row>
    <row r="112" spans="1:57">
      <c r="A112" s="95" t="s">
        <v>5</v>
      </c>
      <c r="B112" s="132"/>
      <c r="C112" s="132"/>
      <c r="D112" s="132" t="str">
        <f>IF( OR( D9=0, D9="--", D$15=0, D$15="--"), "--", D9/D$15*100)</f>
        <v>--</v>
      </c>
      <c r="E112" s="132">
        <v>55.375479735700253</v>
      </c>
      <c r="F112" s="132">
        <v>55.865602321107843</v>
      </c>
      <c r="G112" s="201">
        <v>59.389999940236308</v>
      </c>
    </row>
    <row r="113" spans="1:57">
      <c r="A113" s="97" t="s">
        <v>63</v>
      </c>
      <c r="B113" s="133"/>
      <c r="C113" s="133"/>
      <c r="D113" s="133" t="str">
        <f>IF( OR( D10=0, D10="--", D$15=0, D$15="--"), "--", D10/D$15*100)</f>
        <v>--</v>
      </c>
      <c r="E113" s="133">
        <v>-2.0365852050169475</v>
      </c>
      <c r="F113" s="133">
        <v>-2.1455546060835036</v>
      </c>
      <c r="G113" s="202">
        <v>-1.9304071700496237</v>
      </c>
    </row>
    <row r="114" spans="1:57">
      <c r="A114" s="95" t="s">
        <v>6</v>
      </c>
      <c r="B114" s="132"/>
      <c r="C114" s="132"/>
      <c r="D114" s="132" t="str">
        <f>IF( OR( D11=0, D11="--", D$15=0, D$15="--"), "--", D11/D$15*100)</f>
        <v>--</v>
      </c>
      <c r="E114" s="132">
        <v>53.338894530683298</v>
      </c>
      <c r="F114" s="132">
        <v>53.720047715024343</v>
      </c>
      <c r="G114" s="201">
        <v>57.459604722925548</v>
      </c>
    </row>
    <row r="115" spans="1:57">
      <c r="A115" s="95" t="s">
        <v>7</v>
      </c>
      <c r="B115" s="132"/>
      <c r="C115" s="132"/>
      <c r="D115" s="132" t="str">
        <f>IF( OR( D12=0, D12="--", D$15=0, D$15="--"), "--", D12/D$15*100)</f>
        <v>--</v>
      </c>
      <c r="E115" s="132">
        <v>0.5425134853540482</v>
      </c>
      <c r="F115" s="132">
        <v>1.2846519013853464</v>
      </c>
      <c r="G115" s="201">
        <v>0.14100247620906933</v>
      </c>
    </row>
    <row r="116" spans="1:57">
      <c r="A116" s="95" t="s">
        <v>16</v>
      </c>
      <c r="B116" s="132"/>
      <c r="C116" s="132"/>
      <c r="D116" s="132" t="str">
        <f>IF( OR( D13=0, D13="--", D$15=0, D$15="--"), "--", D13/D$15*100)</f>
        <v>--</v>
      </c>
      <c r="E116" s="132">
        <v>2.0979781860385369</v>
      </c>
      <c r="F116" s="132">
        <v>2.3259723125301663</v>
      </c>
      <c r="G116" s="201">
        <v>2.2636096872964298</v>
      </c>
    </row>
    <row r="117" spans="1:57">
      <c r="A117" s="98" t="s">
        <v>8</v>
      </c>
      <c r="B117" s="132"/>
      <c r="C117" s="132"/>
      <c r="D117" s="132" t="str">
        <f>IF( OR( D14=0, D14="--", D$15=0, D$15="--"), "--", D14/D$15*100)</f>
        <v>--</v>
      </c>
      <c r="E117" s="132">
        <v>5.2420769423525844</v>
      </c>
      <c r="F117" s="132">
        <v>2.9337064920647018</v>
      </c>
      <c r="G117" s="201">
        <v>2.6510776390153334</v>
      </c>
    </row>
    <row r="118" spans="1:57" s="20" customFormat="1">
      <c r="A118" s="123"/>
      <c r="B118" s="131"/>
      <c r="C118" s="131"/>
      <c r="D118" s="131"/>
      <c r="E118" s="131"/>
      <c r="F118" s="131"/>
      <c r="G118" s="189"/>
      <c r="H118" s="270"/>
      <c r="I118" s="270"/>
      <c r="J118" s="270"/>
      <c r="K118" s="270"/>
      <c r="L118" s="270"/>
      <c r="M118" s="270"/>
      <c r="N118" s="270"/>
      <c r="O118" s="270"/>
      <c r="P118" s="270"/>
      <c r="Q118" s="270"/>
      <c r="R118" s="270"/>
      <c r="S118" s="270"/>
      <c r="T118" s="270"/>
      <c r="U118" s="270"/>
      <c r="V118" s="270"/>
      <c r="W118" s="270"/>
      <c r="X118" s="270"/>
      <c r="Y118" s="270"/>
      <c r="Z118" s="270"/>
      <c r="AA118" s="270"/>
      <c r="AB118" s="270"/>
      <c r="AC118" s="270"/>
      <c r="AD118" s="270"/>
      <c r="AE118" s="270"/>
      <c r="AF118" s="270"/>
      <c r="AG118" s="270"/>
      <c r="AH118" s="270"/>
      <c r="AI118" s="270"/>
      <c r="AJ118" s="270"/>
      <c r="AK118" s="270"/>
      <c r="AL118" s="270"/>
      <c r="AM118" s="270"/>
      <c r="AN118" s="270"/>
      <c r="AO118" s="270"/>
      <c r="AP118" s="270"/>
      <c r="AQ118" s="270"/>
      <c r="AR118" s="270"/>
      <c r="AS118" s="270"/>
      <c r="AT118" s="270"/>
      <c r="AU118" s="270"/>
      <c r="AV118" s="270"/>
      <c r="AW118" s="270"/>
      <c r="AX118" s="270"/>
      <c r="AY118" s="270"/>
      <c r="AZ118" s="270"/>
      <c r="BA118" s="270"/>
      <c r="BB118" s="270"/>
      <c r="BC118" s="270"/>
      <c r="BD118" s="270"/>
      <c r="BE118" s="270"/>
    </row>
    <row r="119" spans="1:57">
      <c r="A119" s="98" t="s">
        <v>9</v>
      </c>
      <c r="B119" s="132"/>
      <c r="C119" s="132"/>
      <c r="D119" s="132" t="str">
        <f>IF( OR( D17=0, D17="--", D$15=0, D$15="--"), "--", D17/D$15*100)</f>
        <v>--</v>
      </c>
      <c r="E119" s="132">
        <v>61.153146142990913</v>
      </c>
      <c r="F119" s="132">
        <v>58.22832839049353</v>
      </c>
      <c r="G119" s="201">
        <v>59.763415455289781</v>
      </c>
    </row>
    <row r="120" spans="1:57">
      <c r="A120" s="98" t="s">
        <v>10</v>
      </c>
      <c r="B120" s="132"/>
      <c r="C120" s="132"/>
      <c r="D120" s="132" t="str">
        <f>IF( OR( D18=0, D18="--", D$15=0, D$15="--"), "--", D18/D$15*100)</f>
        <v>--</v>
      </c>
      <c r="E120" s="132">
        <v>24.85090276037614</v>
      </c>
      <c r="F120" s="132">
        <v>27.766544460425123</v>
      </c>
      <c r="G120" s="201">
        <v>27.578594238381438</v>
      </c>
    </row>
    <row r="121" spans="1:57">
      <c r="A121" s="104" t="s">
        <v>11</v>
      </c>
      <c r="B121" s="132"/>
      <c r="C121" s="132"/>
      <c r="D121" s="132" t="str">
        <f>IF( OR( D19=0, D19="--", D$15=0, D$15="--"), "--", D19/D$15*100)</f>
        <v>--</v>
      </c>
      <c r="E121" s="132">
        <v>5.2754441264523957E-2</v>
      </c>
      <c r="F121" s="132">
        <v>1.6740255254841363</v>
      </c>
      <c r="G121" s="201">
        <v>1.2340406034539431</v>
      </c>
    </row>
    <row r="122" spans="1:57">
      <c r="A122" s="98" t="s">
        <v>12</v>
      </c>
      <c r="B122" s="132"/>
      <c r="C122" s="132"/>
      <c r="D122" s="132" t="str">
        <f>IF( OR( D20=0, D20="--", D$15=0, D$15="--"), "--", D20/D$15*100)</f>
        <v>--</v>
      </c>
      <c r="E122" s="132">
        <v>3.2238898487266394</v>
      </c>
      <c r="F122" s="132">
        <v>2.2653826633609908</v>
      </c>
      <c r="G122" s="201">
        <v>2.6630303778858395</v>
      </c>
    </row>
    <row r="123" spans="1:57">
      <c r="A123" s="98" t="s">
        <v>17</v>
      </c>
      <c r="B123" s="132"/>
      <c r="C123" s="132"/>
      <c r="D123" s="132" t="str">
        <f>IF( OR( D21=0, D21="--", D$15=0, D$15="--"), "--", D21/D$15*100)</f>
        <v>--</v>
      </c>
      <c r="E123" s="132">
        <v>89.280693193358218</v>
      </c>
      <c r="F123" s="132">
        <v>89.934281039763789</v>
      </c>
      <c r="G123" s="201">
        <v>91.23908067501101</v>
      </c>
    </row>
    <row r="124" spans="1:57">
      <c r="A124" s="98" t="s">
        <v>13</v>
      </c>
      <c r="B124" s="132"/>
      <c r="C124" s="132"/>
      <c r="D124" s="132" t="str">
        <f>IF( OR( D22=0, D22="--", D$15=0, D$15="--"), "--", D22/D$15*100)</f>
        <v>--</v>
      </c>
      <c r="E124" s="132" t="s">
        <v>278</v>
      </c>
      <c r="F124" s="132" t="s">
        <v>278</v>
      </c>
      <c r="G124" s="201" t="s">
        <v>278</v>
      </c>
    </row>
    <row r="125" spans="1:57">
      <c r="A125" s="98" t="s">
        <v>14</v>
      </c>
      <c r="B125" s="132"/>
      <c r="C125" s="132"/>
      <c r="D125" s="132" t="str">
        <f>IF( OR( D23=0, D23="--", D$15=0, D$15="--"), "--", D23/D$15*100)</f>
        <v>--</v>
      </c>
      <c r="E125" s="132">
        <v>4.2647349748756973</v>
      </c>
      <c r="F125" s="132">
        <v>3.6864018126088092</v>
      </c>
      <c r="G125" s="201">
        <v>3.288835942682633</v>
      </c>
    </row>
    <row r="126" spans="1:57">
      <c r="A126" s="104" t="s">
        <v>55</v>
      </c>
      <c r="B126" s="132"/>
      <c r="C126" s="132"/>
      <c r="D126" s="132" t="str">
        <f>IF( OR( D24=0, D24="--", D$15=0, D$15="--"), "--", D24/D$15*100)</f>
        <v>--</v>
      </c>
      <c r="E126" s="132">
        <v>0.13623834456563313</v>
      </c>
      <c r="F126" s="132">
        <v>8.7938768241078699E-2</v>
      </c>
      <c r="G126" s="201">
        <v>8.0680987375915628E-2</v>
      </c>
    </row>
    <row r="127" spans="1:57">
      <c r="A127" s="98" t="s">
        <v>54</v>
      </c>
      <c r="B127" s="132"/>
      <c r="C127" s="132"/>
      <c r="D127" s="132" t="str">
        <f>IF( OR( D25=0, D25="--", D$15=0, D$15="--"), "--", D25/D$15*100)</f>
        <v>--</v>
      </c>
      <c r="E127" s="132">
        <v>6.3183334872004533</v>
      </c>
      <c r="F127" s="132">
        <v>6.2913783793863312</v>
      </c>
      <c r="G127" s="201">
        <v>5.391402394930445</v>
      </c>
    </row>
    <row r="128" spans="1:57">
      <c r="A128" s="135" t="s">
        <v>56</v>
      </c>
      <c r="B128" s="134"/>
      <c r="C128" s="134"/>
      <c r="D128" s="134" t="str">
        <f>IF( OR( D26=0, D26="--", D$15=0, D$15="--"), "--", D26/D$15*100)</f>
        <v>--</v>
      </c>
      <c r="E128" s="134">
        <v>10.719306806641784</v>
      </c>
      <c r="F128" s="134">
        <v>10.065718960236218</v>
      </c>
      <c r="G128" s="203">
        <v>8.7609193249889934</v>
      </c>
    </row>
    <row r="129" spans="1:57">
      <c r="A129" s="93"/>
      <c r="B129" s="93"/>
      <c r="C129" s="93"/>
      <c r="D129" s="93"/>
      <c r="E129" s="93"/>
      <c r="F129" s="93"/>
      <c r="G129" s="93"/>
    </row>
    <row r="130" spans="1:57">
      <c r="A130" s="93"/>
      <c r="B130" s="93"/>
      <c r="C130" s="93"/>
      <c r="D130" s="93"/>
      <c r="E130" s="93"/>
      <c r="F130" s="93"/>
      <c r="G130" s="93"/>
    </row>
    <row r="131" spans="1:57" s="180" customFormat="1">
      <c r="A131" s="122" t="s">
        <v>37</v>
      </c>
      <c r="B131" s="179"/>
      <c r="C131" s="179"/>
      <c r="D131" s="179">
        <v>2016</v>
      </c>
      <c r="E131" s="179">
        <v>2017</v>
      </c>
      <c r="F131" s="179">
        <v>2018</v>
      </c>
      <c r="G131" s="187">
        <v>2019</v>
      </c>
      <c r="H131" s="270"/>
      <c r="I131" s="270"/>
      <c r="J131" s="270"/>
      <c r="K131" s="270"/>
      <c r="L131" s="270"/>
      <c r="M131" s="270"/>
      <c r="N131" s="270"/>
      <c r="O131" s="270"/>
      <c r="P131" s="270"/>
      <c r="Q131" s="270"/>
      <c r="R131" s="270"/>
      <c r="S131" s="270"/>
      <c r="T131" s="270"/>
      <c r="U131" s="270"/>
      <c r="V131" s="270"/>
      <c r="W131" s="270"/>
      <c r="X131" s="270"/>
      <c r="Y131" s="270"/>
      <c r="Z131" s="270"/>
      <c r="AA131" s="270"/>
      <c r="AB131" s="270"/>
      <c r="AC131" s="270"/>
      <c r="AD131" s="270"/>
      <c r="AE131" s="270"/>
      <c r="AF131" s="270"/>
      <c r="AG131" s="270"/>
      <c r="AH131" s="270"/>
      <c r="AI131" s="270"/>
      <c r="AJ131" s="270"/>
      <c r="AK131" s="270"/>
      <c r="AL131" s="270"/>
      <c r="AM131" s="270"/>
      <c r="AN131" s="270"/>
      <c r="AO131" s="270"/>
      <c r="AP131" s="270"/>
      <c r="AQ131" s="270"/>
      <c r="AR131" s="270"/>
      <c r="AS131" s="270"/>
      <c r="AT131" s="270"/>
      <c r="AU131" s="270"/>
      <c r="AV131" s="270"/>
      <c r="AW131" s="270"/>
      <c r="AX131" s="270"/>
      <c r="AY131" s="270"/>
      <c r="AZ131" s="270"/>
      <c r="BA131" s="270"/>
      <c r="BB131" s="270"/>
      <c r="BC131" s="270"/>
      <c r="BD131" s="270"/>
      <c r="BE131" s="270"/>
    </row>
    <row r="132" spans="1:57" s="20" customFormat="1">
      <c r="A132" s="123"/>
      <c r="B132" s="131"/>
      <c r="C132" s="131"/>
      <c r="D132" s="131"/>
      <c r="E132" s="131"/>
      <c r="F132" s="131"/>
      <c r="G132" s="189"/>
      <c r="H132" s="270"/>
      <c r="I132" s="270"/>
      <c r="J132" s="270"/>
      <c r="K132" s="270"/>
      <c r="L132" s="270"/>
      <c r="M132" s="270"/>
      <c r="N132" s="270"/>
      <c r="O132" s="270"/>
      <c r="P132" s="270"/>
      <c r="Q132" s="270"/>
      <c r="R132" s="270"/>
      <c r="S132" s="270"/>
      <c r="T132" s="270"/>
      <c r="U132" s="270"/>
      <c r="V132" s="270"/>
      <c r="W132" s="270"/>
      <c r="X132" s="270"/>
      <c r="Y132" s="270"/>
      <c r="Z132" s="270"/>
      <c r="AA132" s="270"/>
      <c r="AB132" s="270"/>
      <c r="AC132" s="270"/>
      <c r="AD132" s="270"/>
      <c r="AE132" s="270"/>
      <c r="AF132" s="270"/>
      <c r="AG132" s="270"/>
      <c r="AH132" s="270"/>
      <c r="AI132" s="270"/>
      <c r="AJ132" s="270"/>
      <c r="AK132" s="270"/>
      <c r="AL132" s="270"/>
      <c r="AM132" s="270"/>
      <c r="AN132" s="270"/>
      <c r="AO132" s="270"/>
      <c r="AP132" s="270"/>
      <c r="AQ132" s="270"/>
      <c r="AR132" s="270"/>
      <c r="AS132" s="270"/>
      <c r="AT132" s="270"/>
      <c r="AU132" s="270"/>
      <c r="AV132" s="270"/>
      <c r="AW132" s="270"/>
      <c r="AX132" s="270"/>
      <c r="AY132" s="270"/>
      <c r="AZ132" s="270"/>
      <c r="BA132" s="270"/>
      <c r="BB132" s="270"/>
      <c r="BC132" s="270"/>
      <c r="BD132" s="270"/>
      <c r="BE132" s="270"/>
    </row>
    <row r="133" spans="1:57">
      <c r="A133" s="130" t="s">
        <v>18</v>
      </c>
      <c r="B133" s="132"/>
      <c r="C133" s="132"/>
      <c r="D133" s="132" t="str">
        <f t="shared" ref="D133:G142" si="1">IF( OR(D31=0, D31="--", D$39=0, D$39="--"), "--", (D31/D$39)*100)</f>
        <v>--</v>
      </c>
      <c r="E133" s="132">
        <v>123.76286065757101</v>
      </c>
      <c r="F133" s="132">
        <v>122.84166617020729</v>
      </c>
      <c r="G133" s="201">
        <v>118.69634118732912</v>
      </c>
    </row>
    <row r="134" spans="1:57">
      <c r="A134" s="130" t="s">
        <v>19</v>
      </c>
      <c r="B134" s="133"/>
      <c r="C134" s="133"/>
      <c r="D134" s="133" t="str">
        <f t="shared" si="1"/>
        <v>--</v>
      </c>
      <c r="E134" s="133">
        <v>-53.480764929545963</v>
      </c>
      <c r="F134" s="133">
        <v>-51.145809564168601</v>
      </c>
      <c r="G134" s="202">
        <v>-48.927259112202428</v>
      </c>
    </row>
    <row r="135" spans="1:57">
      <c r="A135" s="130" t="s">
        <v>20</v>
      </c>
      <c r="B135" s="132"/>
      <c r="C135" s="132"/>
      <c r="D135" s="132" t="str">
        <f t="shared" si="1"/>
        <v>--</v>
      </c>
      <c r="E135" s="132">
        <v>70.282095728025055</v>
      </c>
      <c r="F135" s="132">
        <v>71.695856606038674</v>
      </c>
      <c r="G135" s="201">
        <v>69.76908207512669</v>
      </c>
    </row>
    <row r="136" spans="1:57">
      <c r="A136" s="130" t="s">
        <v>31</v>
      </c>
      <c r="B136" s="132"/>
      <c r="C136" s="132"/>
      <c r="D136" s="132" t="str">
        <f t="shared" si="1"/>
        <v>--</v>
      </c>
      <c r="E136" s="132" t="s">
        <v>278</v>
      </c>
      <c r="F136" s="132" t="s">
        <v>278</v>
      </c>
      <c r="G136" s="201" t="s">
        <v>278</v>
      </c>
    </row>
    <row r="137" spans="1:57">
      <c r="A137" s="130" t="s">
        <v>21</v>
      </c>
      <c r="B137" s="132"/>
      <c r="C137" s="132"/>
      <c r="D137" s="132" t="str">
        <f t="shared" si="1"/>
        <v>--</v>
      </c>
      <c r="E137" s="132">
        <v>0.78561842988145825</v>
      </c>
      <c r="F137" s="132">
        <v>6.2335817129085829</v>
      </c>
      <c r="G137" s="201">
        <v>3.9496369050728801</v>
      </c>
    </row>
    <row r="138" spans="1:57">
      <c r="A138" s="130" t="s">
        <v>33</v>
      </c>
      <c r="B138" s="132"/>
      <c r="C138" s="132"/>
      <c r="D138" s="132" t="str">
        <f t="shared" si="1"/>
        <v>--</v>
      </c>
      <c r="E138" s="132">
        <v>25.670990829791997</v>
      </c>
      <c r="F138" s="132">
        <v>20.068500156806234</v>
      </c>
      <c r="G138" s="201">
        <v>24.955157341135084</v>
      </c>
    </row>
    <row r="139" spans="1:57">
      <c r="A139" s="130" t="s">
        <v>34</v>
      </c>
      <c r="B139" s="132"/>
      <c r="C139" s="132"/>
      <c r="D139" s="132" t="str">
        <f t="shared" si="1"/>
        <v>--</v>
      </c>
      <c r="E139" s="132">
        <v>3.261295012301499</v>
      </c>
      <c r="F139" s="132">
        <v>2.0020615242465154</v>
      </c>
      <c r="G139" s="201">
        <v>1.326123678665343</v>
      </c>
    </row>
    <row r="140" spans="1:57">
      <c r="A140" s="130" t="s">
        <v>32</v>
      </c>
      <c r="B140" s="132"/>
      <c r="C140" s="132"/>
      <c r="D140" s="132" t="str">
        <f t="shared" si="1"/>
        <v>--</v>
      </c>
      <c r="E140" s="132">
        <v>29.717904271974948</v>
      </c>
      <c r="F140" s="132">
        <v>28.304143393961329</v>
      </c>
      <c r="G140" s="201">
        <v>30.230917924873307</v>
      </c>
    </row>
    <row r="141" spans="1:57">
      <c r="A141" s="130" t="s">
        <v>22</v>
      </c>
      <c r="B141" s="132"/>
      <c r="C141" s="132"/>
      <c r="D141" s="132" t="str">
        <f t="shared" si="1"/>
        <v>--</v>
      </c>
      <c r="E141" s="132">
        <v>100</v>
      </c>
      <c r="F141" s="132">
        <v>100</v>
      </c>
      <c r="G141" s="201">
        <v>100</v>
      </c>
    </row>
    <row r="142" spans="1:57">
      <c r="A142" s="130" t="s">
        <v>23</v>
      </c>
      <c r="B142" s="133"/>
      <c r="C142" s="133"/>
      <c r="D142" s="133" t="str">
        <f t="shared" si="1"/>
        <v>--</v>
      </c>
      <c r="E142" s="133" t="s">
        <v>278</v>
      </c>
      <c r="F142" s="133" t="s">
        <v>278</v>
      </c>
      <c r="G142" s="202" t="s">
        <v>278</v>
      </c>
    </row>
    <row r="143" spans="1:57">
      <c r="A143" s="130" t="s">
        <v>25</v>
      </c>
      <c r="B143" s="133"/>
      <c r="C143" s="133"/>
      <c r="D143" s="133" t="str">
        <f t="shared" ref="D143:G151" si="2">IF( OR(D41=0, D41="--", D$39=0, D$39="--"), "--", (D41/D$39)*100)</f>
        <v>--</v>
      </c>
      <c r="E143" s="133">
        <v>-31.926582420040262</v>
      </c>
      <c r="F143" s="133">
        <v>-34.635630647694057</v>
      </c>
      <c r="G143" s="202">
        <v>-34.920676384027303</v>
      </c>
    </row>
    <row r="144" spans="1:57">
      <c r="A144" s="130" t="s">
        <v>75</v>
      </c>
      <c r="B144" s="133"/>
      <c r="C144" s="133"/>
      <c r="D144" s="133" t="str">
        <f t="shared" si="2"/>
        <v>--</v>
      </c>
      <c r="E144" s="133">
        <v>-6.1046186535450682</v>
      </c>
      <c r="F144" s="133">
        <v>-6.5465197446587533</v>
      </c>
      <c r="G144" s="202">
        <v>-4.2204343207425596</v>
      </c>
    </row>
    <row r="145" spans="1:7">
      <c r="A145" s="130" t="s">
        <v>24</v>
      </c>
      <c r="B145" s="133"/>
      <c r="C145" s="133"/>
      <c r="D145" s="133" t="str">
        <f t="shared" si="2"/>
        <v>--</v>
      </c>
      <c r="E145" s="133">
        <v>-38.031201073585329</v>
      </c>
      <c r="F145" s="133">
        <v>-41.18215039235281</v>
      </c>
      <c r="G145" s="202">
        <v>-39.141110704769865</v>
      </c>
    </row>
    <row r="146" spans="1:7">
      <c r="A146" s="130" t="s">
        <v>35</v>
      </c>
      <c r="B146" s="132"/>
      <c r="C146" s="132"/>
      <c r="D146" s="132" t="str">
        <f t="shared" si="2"/>
        <v>--</v>
      </c>
      <c r="E146" s="132">
        <v>61.968798926414671</v>
      </c>
      <c r="F146" s="132">
        <v>58.81784960764719</v>
      </c>
      <c r="G146" s="201">
        <v>60.858889295230135</v>
      </c>
    </row>
    <row r="147" spans="1:7">
      <c r="A147" s="130" t="s">
        <v>64</v>
      </c>
      <c r="B147" s="133"/>
      <c r="C147" s="133"/>
      <c r="D147" s="133" t="str">
        <f t="shared" si="2"/>
        <v>--</v>
      </c>
      <c r="E147" s="133">
        <v>-18.70107358532767</v>
      </c>
      <c r="F147" s="133">
        <v>-15.052274364822349</v>
      </c>
      <c r="G147" s="202">
        <v>-11.629486442714592</v>
      </c>
    </row>
    <row r="148" spans="1:7">
      <c r="A148" s="130" t="s">
        <v>26</v>
      </c>
      <c r="B148" s="133"/>
      <c r="C148" s="133"/>
      <c r="D148" s="133" t="str">
        <f t="shared" si="2"/>
        <v>--</v>
      </c>
      <c r="E148" s="133">
        <v>3.2067770073808988</v>
      </c>
      <c r="F148" s="133">
        <v>2.1671857945917026</v>
      </c>
      <c r="G148" s="202">
        <v>2.0636330390261741</v>
      </c>
    </row>
    <row r="149" spans="1:7">
      <c r="A149" s="130" t="s">
        <v>27</v>
      </c>
      <c r="B149" s="132"/>
      <c r="C149" s="132"/>
      <c r="D149" s="132" t="str">
        <f t="shared" si="2"/>
        <v>--</v>
      </c>
      <c r="E149" s="132">
        <v>46.474502348467908</v>
      </c>
      <c r="F149" s="132">
        <v>45.932761037416547</v>
      </c>
      <c r="G149" s="201">
        <v>51.293035891541713</v>
      </c>
    </row>
    <row r="150" spans="1:7">
      <c r="A150" s="130" t="s">
        <v>28</v>
      </c>
      <c r="B150" s="133"/>
      <c r="C150" s="133"/>
      <c r="D150" s="133" t="str">
        <f t="shared" si="2"/>
        <v>--</v>
      </c>
      <c r="E150" s="133">
        <v>-4.5809103108924178</v>
      </c>
      <c r="F150" s="133">
        <v>-4.8458184442348706</v>
      </c>
      <c r="G150" s="202">
        <v>-5.7085140100656533</v>
      </c>
    </row>
    <row r="151" spans="1:7">
      <c r="A151" s="130" t="s">
        <v>29</v>
      </c>
      <c r="B151" s="132"/>
      <c r="C151" s="132"/>
      <c r="D151" s="132" t="str">
        <f t="shared" si="2"/>
        <v>--</v>
      </c>
      <c r="E151" s="132">
        <v>41.893592037575488</v>
      </c>
      <c r="F151" s="132">
        <v>41.086942593181675</v>
      </c>
      <c r="G151" s="201">
        <v>45.584521881476064</v>
      </c>
    </row>
    <row r="152" spans="1:7">
      <c r="A152" s="176" t="s">
        <v>14</v>
      </c>
      <c r="B152" s="204"/>
      <c r="C152" s="204"/>
      <c r="D152" s="204"/>
      <c r="E152" s="132">
        <v>15.87732050995303</v>
      </c>
      <c r="F152" s="132">
        <v>15.05115030580026</v>
      </c>
      <c r="G152" s="201">
        <v>16.04322309875834</v>
      </c>
    </row>
    <row r="153" spans="1:7">
      <c r="A153" s="177" t="s">
        <v>30</v>
      </c>
      <c r="B153" s="200"/>
      <c r="C153" s="200"/>
      <c r="D153" s="200"/>
      <c r="E153" s="134">
        <v>26.016271527622454</v>
      </c>
      <c r="F153" s="134">
        <v>26.035792287381415</v>
      </c>
      <c r="G153" s="203">
        <v>29.541298782717728</v>
      </c>
    </row>
    <row r="154" spans="1:7">
      <c r="A154" s="93"/>
      <c r="B154" s="92"/>
      <c r="C154" s="93"/>
      <c r="D154" s="93"/>
      <c r="E154" s="93"/>
      <c r="F154" s="93"/>
      <c r="G154" s="93"/>
    </row>
    <row r="155" spans="1:7">
      <c r="A155" s="109" t="s">
        <v>38</v>
      </c>
      <c r="B155" s="136"/>
      <c r="C155" s="136"/>
      <c r="D155" s="136">
        <v>2016</v>
      </c>
      <c r="E155" s="136">
        <v>2017</v>
      </c>
      <c r="F155" s="136">
        <v>2018</v>
      </c>
      <c r="G155" s="137">
        <v>2019</v>
      </c>
    </row>
    <row r="156" spans="1:7">
      <c r="A156" s="101"/>
      <c r="B156" s="110"/>
      <c r="C156" s="110"/>
      <c r="D156" s="110"/>
      <c r="E156" s="110"/>
      <c r="F156" s="110"/>
      <c r="G156" s="156"/>
    </row>
    <row r="157" spans="1:7">
      <c r="A157" s="151" t="s">
        <v>39</v>
      </c>
      <c r="B157" s="157"/>
      <c r="C157" s="157"/>
      <c r="D157" s="157"/>
      <c r="E157" s="157"/>
      <c r="F157" s="157"/>
      <c r="G157" s="138"/>
    </row>
    <row r="158" spans="1:7">
      <c r="A158" s="152" t="s">
        <v>254</v>
      </c>
      <c r="B158" s="139"/>
      <c r="C158" s="139"/>
      <c r="D158" s="139"/>
      <c r="E158" s="139">
        <v>1.9762473128206479E-2</v>
      </c>
      <c r="F158" s="139">
        <v>1.9756387451618809E-2</v>
      </c>
      <c r="G158" s="140">
        <v>2.0858326178291038E-2</v>
      </c>
    </row>
    <row r="159" spans="1:7">
      <c r="A159" s="152" t="s">
        <v>255</v>
      </c>
      <c r="B159" s="139"/>
      <c r="C159" s="139"/>
      <c r="D159" s="139"/>
      <c r="E159" s="139">
        <v>3.9524946256412959E-2</v>
      </c>
      <c r="F159" s="139">
        <v>2.1714596667093401E-2</v>
      </c>
      <c r="G159" s="140">
        <v>2.4014480614380249E-2</v>
      </c>
    </row>
    <row r="160" spans="1:7">
      <c r="A160" s="152" t="s">
        <v>256</v>
      </c>
      <c r="B160" s="141"/>
      <c r="C160" s="141"/>
      <c r="D160" s="141"/>
      <c r="E160" s="141">
        <v>0.31277983614256638</v>
      </c>
      <c r="F160" s="141">
        <v>0.31402319587628857</v>
      </c>
      <c r="G160" s="142">
        <v>0.38688127226237456</v>
      </c>
    </row>
    <row r="161" spans="1:57">
      <c r="A161" s="152" t="s">
        <v>61</v>
      </c>
      <c r="B161" s="141"/>
      <c r="C161" s="141"/>
      <c r="D161" s="141"/>
      <c r="E161" s="141">
        <v>0.31277983614256638</v>
      </c>
      <c r="F161" s="141">
        <v>0.31402319587628857</v>
      </c>
      <c r="G161" s="142">
        <v>0.38688127226237456</v>
      </c>
    </row>
    <row r="162" spans="1:57">
      <c r="A162" s="152" t="s">
        <v>42</v>
      </c>
      <c r="B162" s="141"/>
      <c r="C162" s="141"/>
      <c r="D162" s="141"/>
      <c r="E162" s="141">
        <v>0.43212288925283787</v>
      </c>
      <c r="F162" s="141">
        <v>0.41635555067530472</v>
      </c>
      <c r="G162" s="142">
        <v>0.41220528470194689</v>
      </c>
    </row>
    <row r="163" spans="1:57" s="178" customFormat="1" ht="18">
      <c r="A163" s="152" t="s">
        <v>257</v>
      </c>
      <c r="B163" s="139"/>
      <c r="C163" s="139"/>
      <c r="D163" s="139"/>
      <c r="E163" s="139">
        <v>3.3691370054520338E-2</v>
      </c>
      <c r="F163" s="139">
        <v>3.4294572211994848E-2</v>
      </c>
      <c r="G163" s="140">
        <v>3.1844385464749422E-2</v>
      </c>
      <c r="H163" s="270"/>
      <c r="I163" s="270"/>
      <c r="J163" s="270"/>
      <c r="K163" s="270"/>
      <c r="L163" s="270"/>
      <c r="M163" s="270"/>
      <c r="N163" s="270"/>
      <c r="O163" s="270"/>
      <c r="P163" s="270"/>
      <c r="Q163" s="270"/>
      <c r="R163" s="270"/>
      <c r="S163" s="270"/>
      <c r="T163" s="270"/>
      <c r="U163" s="270"/>
      <c r="V163" s="270"/>
      <c r="W163" s="270"/>
      <c r="X163" s="270"/>
      <c r="Y163" s="270"/>
      <c r="Z163" s="270"/>
      <c r="AA163" s="270"/>
      <c r="AB163" s="270"/>
      <c r="AC163" s="270"/>
      <c r="AD163" s="270"/>
      <c r="AE163" s="270"/>
      <c r="AF163" s="270"/>
      <c r="AG163" s="270"/>
      <c r="AH163" s="270"/>
      <c r="AI163" s="270"/>
      <c r="AJ163" s="270"/>
      <c r="AK163" s="270"/>
      <c r="AL163" s="270"/>
      <c r="AM163" s="270"/>
      <c r="AN163" s="270"/>
      <c r="AO163" s="270"/>
      <c r="AP163" s="270"/>
      <c r="AQ163" s="270"/>
      <c r="AR163" s="270"/>
      <c r="AS163" s="270"/>
      <c r="AT163" s="270"/>
      <c r="AU163" s="270"/>
      <c r="AV163" s="270"/>
      <c r="AW163" s="270"/>
      <c r="AX163" s="270"/>
      <c r="AY163" s="270"/>
      <c r="AZ163" s="270"/>
      <c r="BA163" s="270"/>
      <c r="BB163" s="270"/>
      <c r="BC163" s="270"/>
      <c r="BD163" s="270"/>
      <c r="BE163" s="270"/>
    </row>
    <row r="164" spans="1:57" s="178" customFormat="1" ht="18">
      <c r="A164" s="152" t="s">
        <v>258</v>
      </c>
      <c r="B164" s="139"/>
      <c r="C164" s="139"/>
      <c r="D164" s="139"/>
      <c r="E164" s="139">
        <v>3.7640824613836596E-2</v>
      </c>
      <c r="F164" s="139">
        <v>3.794513384578866E-2</v>
      </c>
      <c r="G164" s="140">
        <v>3.5076375944576112E-2</v>
      </c>
      <c r="H164" s="270"/>
      <c r="I164" s="270"/>
      <c r="J164" s="270"/>
      <c r="K164" s="270"/>
      <c r="L164" s="270"/>
      <c r="M164" s="270"/>
      <c r="N164" s="270"/>
      <c r="O164" s="270"/>
      <c r="P164" s="270"/>
      <c r="Q164" s="270"/>
      <c r="R164" s="270"/>
      <c r="S164" s="270"/>
      <c r="T164" s="270"/>
      <c r="U164" s="270"/>
      <c r="V164" s="270"/>
      <c r="W164" s="270"/>
      <c r="X164" s="270"/>
      <c r="Y164" s="270"/>
      <c r="Z164" s="270"/>
      <c r="AA164" s="270"/>
      <c r="AB164" s="270"/>
      <c r="AC164" s="270"/>
      <c r="AD164" s="270"/>
      <c r="AE164" s="270"/>
      <c r="AF164" s="270"/>
      <c r="AG164" s="270"/>
      <c r="AH164" s="270"/>
      <c r="AI164" s="270"/>
      <c r="AJ164" s="270"/>
      <c r="AK164" s="270"/>
      <c r="AL164" s="270"/>
      <c r="AM164" s="270"/>
      <c r="AN164" s="270"/>
      <c r="AO164" s="270"/>
      <c r="AP164" s="270"/>
      <c r="AQ164" s="270"/>
      <c r="AR164" s="270"/>
      <c r="AS164" s="270"/>
      <c r="AT164" s="270"/>
      <c r="AU164" s="270"/>
      <c r="AV164" s="270"/>
      <c r="AW164" s="270"/>
      <c r="AX164" s="270"/>
      <c r="AY164" s="270"/>
      <c r="AZ164" s="270"/>
      <c r="BA164" s="270"/>
      <c r="BB164" s="270"/>
      <c r="BC164" s="270"/>
      <c r="BD164" s="270"/>
      <c r="BE164" s="270"/>
    </row>
    <row r="165" spans="1:57" s="178" customFormat="1">
      <c r="A165" s="152" t="s">
        <v>43</v>
      </c>
      <c r="B165" s="141"/>
      <c r="C165" s="141"/>
      <c r="D165" s="141"/>
      <c r="E165" s="141">
        <v>0.29717904271974949</v>
      </c>
      <c r="F165" s="141">
        <v>0.28304143393961329</v>
      </c>
      <c r="G165" s="142">
        <v>0.30230917924873307</v>
      </c>
      <c r="H165" s="270"/>
      <c r="I165" s="270"/>
      <c r="J165" s="270"/>
      <c r="K165" s="270"/>
      <c r="L165" s="270"/>
      <c r="M165" s="270"/>
      <c r="N165" s="270"/>
      <c r="O165" s="270"/>
      <c r="P165" s="270"/>
      <c r="Q165" s="270"/>
      <c r="R165" s="270"/>
      <c r="S165" s="270"/>
      <c r="T165" s="270"/>
      <c r="U165" s="270"/>
      <c r="V165" s="270"/>
      <c r="W165" s="270"/>
      <c r="X165" s="270"/>
      <c r="Y165" s="270"/>
      <c r="Z165" s="270"/>
      <c r="AA165" s="270"/>
      <c r="AB165" s="270"/>
      <c r="AC165" s="270"/>
      <c r="AD165" s="270"/>
      <c r="AE165" s="270"/>
      <c r="AF165" s="270"/>
      <c r="AG165" s="270"/>
      <c r="AH165" s="270"/>
      <c r="AI165" s="270"/>
      <c r="AJ165" s="270"/>
      <c r="AK165" s="270"/>
      <c r="AL165" s="270"/>
      <c r="AM165" s="270"/>
      <c r="AN165" s="270"/>
      <c r="AO165" s="270"/>
      <c r="AP165" s="270"/>
      <c r="AQ165" s="270"/>
      <c r="AR165" s="270"/>
      <c r="AS165" s="270"/>
      <c r="AT165" s="270"/>
      <c r="AU165" s="270"/>
      <c r="AV165" s="270"/>
      <c r="AW165" s="270"/>
      <c r="AX165" s="270"/>
      <c r="AY165" s="270"/>
      <c r="AZ165" s="270"/>
      <c r="BA165" s="270"/>
      <c r="BB165" s="270"/>
      <c r="BC165" s="270"/>
      <c r="BD165" s="270"/>
      <c r="BE165" s="270"/>
    </row>
    <row r="166" spans="1:57" s="178" customFormat="1">
      <c r="A166" s="153" t="s">
        <v>44</v>
      </c>
      <c r="B166" s="141"/>
      <c r="C166" s="141"/>
      <c r="D166" s="141"/>
      <c r="E166" s="141">
        <v>9.8568248811887138E-2</v>
      </c>
      <c r="F166" s="141">
        <v>0.10549808752597077</v>
      </c>
      <c r="G166" s="142">
        <v>0.11129218442316834</v>
      </c>
      <c r="H166" s="270"/>
      <c r="I166" s="270"/>
      <c r="J166" s="270"/>
      <c r="K166" s="270"/>
      <c r="L166" s="270"/>
      <c r="M166" s="270"/>
      <c r="N166" s="270"/>
      <c r="O166" s="270"/>
      <c r="P166" s="270"/>
      <c r="Q166" s="270"/>
      <c r="R166" s="270"/>
      <c r="S166" s="270"/>
      <c r="T166" s="270"/>
      <c r="U166" s="270"/>
      <c r="V166" s="270"/>
      <c r="W166" s="270"/>
      <c r="X166" s="270"/>
      <c r="Y166" s="270"/>
      <c r="Z166" s="270"/>
      <c r="AA166" s="270"/>
      <c r="AB166" s="270"/>
      <c r="AC166" s="270"/>
      <c r="AD166" s="270"/>
      <c r="AE166" s="270"/>
      <c r="AF166" s="270"/>
      <c r="AG166" s="270"/>
      <c r="AH166" s="270"/>
      <c r="AI166" s="270"/>
      <c r="AJ166" s="270"/>
      <c r="AK166" s="270"/>
      <c r="AL166" s="270"/>
      <c r="AM166" s="270"/>
      <c r="AN166" s="270"/>
      <c r="AO166" s="270"/>
      <c r="AP166" s="270"/>
      <c r="AQ166" s="270"/>
      <c r="AR166" s="270"/>
      <c r="AS166" s="270"/>
      <c r="AT166" s="270"/>
      <c r="AU166" s="270"/>
      <c r="AV166" s="270"/>
      <c r="AW166" s="270"/>
      <c r="AX166" s="270"/>
      <c r="AY166" s="270"/>
      <c r="AZ166" s="270"/>
      <c r="BA166" s="270"/>
      <c r="BB166" s="270"/>
      <c r="BC166" s="270"/>
      <c r="BD166" s="270"/>
      <c r="BE166" s="270"/>
    </row>
    <row r="167" spans="1:57" s="178" customFormat="1" ht="18">
      <c r="A167" s="152" t="s">
        <v>259</v>
      </c>
      <c r="B167" s="141"/>
      <c r="C167" s="141"/>
      <c r="D167" s="141"/>
      <c r="E167" s="141">
        <v>0.3803120107358533</v>
      </c>
      <c r="F167" s="141">
        <v>0.41182150392352807</v>
      </c>
      <c r="G167" s="142">
        <v>0.39141110704769866</v>
      </c>
      <c r="H167" s="270"/>
      <c r="I167" s="270"/>
      <c r="J167" s="270"/>
      <c r="K167" s="270"/>
      <c r="L167" s="270"/>
      <c r="M167" s="270"/>
      <c r="N167" s="270"/>
      <c r="O167" s="270"/>
      <c r="P167" s="270"/>
      <c r="Q167" s="270"/>
      <c r="R167" s="270"/>
      <c r="S167" s="270"/>
      <c r="T167" s="270"/>
      <c r="U167" s="270"/>
      <c r="V167" s="270"/>
      <c r="W167" s="270"/>
      <c r="X167" s="270"/>
      <c r="Y167" s="270"/>
      <c r="Z167" s="270"/>
      <c r="AA167" s="270"/>
      <c r="AB167" s="270"/>
      <c r="AC167" s="270"/>
      <c r="AD167" s="270"/>
      <c r="AE167" s="270"/>
      <c r="AF167" s="270"/>
      <c r="AG167" s="270"/>
      <c r="AH167" s="270"/>
      <c r="AI167" s="270"/>
      <c r="AJ167" s="270"/>
      <c r="AK167" s="270"/>
      <c r="AL167" s="270"/>
      <c r="AM167" s="270"/>
      <c r="AN167" s="270"/>
      <c r="AO167" s="270"/>
      <c r="AP167" s="270"/>
      <c r="AQ167" s="270"/>
      <c r="AR167" s="270"/>
      <c r="AS167" s="270"/>
      <c r="AT167" s="270"/>
      <c r="AU167" s="270"/>
      <c r="AV167" s="270"/>
      <c r="AW167" s="270"/>
      <c r="AX167" s="270"/>
      <c r="AY167" s="270"/>
      <c r="AZ167" s="270"/>
      <c r="BA167" s="270"/>
      <c r="BB167" s="270"/>
      <c r="BC167" s="270"/>
      <c r="BD167" s="270"/>
      <c r="BE167" s="270"/>
    </row>
    <row r="168" spans="1:57" s="178" customFormat="1">
      <c r="A168" s="152" t="s">
        <v>45</v>
      </c>
      <c r="B168" s="141"/>
      <c r="C168" s="141"/>
      <c r="D168" s="141"/>
      <c r="E168" s="141">
        <v>0</v>
      </c>
      <c r="F168" s="141">
        <v>0</v>
      </c>
      <c r="G168" s="142">
        <v>0</v>
      </c>
      <c r="H168" s="270"/>
      <c r="I168" s="270"/>
      <c r="J168" s="270"/>
      <c r="K168" s="270"/>
      <c r="L168" s="270"/>
      <c r="M168" s="270"/>
      <c r="N168" s="270"/>
      <c r="O168" s="270"/>
      <c r="P168" s="270"/>
      <c r="Q168" s="270"/>
      <c r="R168" s="270"/>
      <c r="S168" s="270"/>
      <c r="T168" s="270"/>
      <c r="U168" s="270"/>
      <c r="V168" s="270"/>
      <c r="W168" s="270"/>
      <c r="X168" s="270"/>
      <c r="Y168" s="270"/>
      <c r="Z168" s="270"/>
      <c r="AA168" s="270"/>
      <c r="AB168" s="270"/>
      <c r="AC168" s="270"/>
      <c r="AD168" s="270"/>
      <c r="AE168" s="270"/>
      <c r="AF168" s="270"/>
      <c r="AG168" s="270"/>
      <c r="AH168" s="270"/>
      <c r="AI168" s="270"/>
      <c r="AJ168" s="270"/>
      <c r="AK168" s="270"/>
      <c r="AL168" s="270"/>
      <c r="AM168" s="270"/>
      <c r="AN168" s="270"/>
      <c r="AO168" s="270"/>
      <c r="AP168" s="270"/>
      <c r="AQ168" s="270"/>
      <c r="AR168" s="270"/>
      <c r="AS168" s="270"/>
      <c r="AT168" s="270"/>
      <c r="AU168" s="270"/>
      <c r="AV168" s="270"/>
      <c r="AW168" s="270"/>
      <c r="AX168" s="270"/>
      <c r="AY168" s="270"/>
      <c r="AZ168" s="270"/>
      <c r="BA168" s="270"/>
      <c r="BB168" s="270"/>
      <c r="BC168" s="270"/>
      <c r="BD168" s="270"/>
      <c r="BE168" s="270"/>
    </row>
    <row r="169" spans="1:57" s="178" customFormat="1">
      <c r="A169" s="152" t="s">
        <v>46</v>
      </c>
      <c r="B169" s="141"/>
      <c r="C169" s="141"/>
      <c r="D169" s="141"/>
      <c r="E169" s="141">
        <v>0</v>
      </c>
      <c r="F169" s="141">
        <v>0</v>
      </c>
      <c r="G169" s="142">
        <v>0</v>
      </c>
      <c r="H169" s="270"/>
      <c r="I169" s="270"/>
      <c r="J169" s="270"/>
      <c r="K169" s="270"/>
      <c r="L169" s="270"/>
      <c r="M169" s="270"/>
      <c r="N169" s="270"/>
      <c r="O169" s="270"/>
      <c r="P169" s="270"/>
      <c r="Q169" s="270"/>
      <c r="R169" s="270"/>
      <c r="S169" s="270"/>
      <c r="T169" s="270"/>
      <c r="U169" s="270"/>
      <c r="V169" s="270"/>
      <c r="W169" s="270"/>
      <c r="X169" s="270"/>
      <c r="Y169" s="270"/>
      <c r="Z169" s="270"/>
      <c r="AA169" s="270"/>
      <c r="AB169" s="270"/>
      <c r="AC169" s="270"/>
      <c r="AD169" s="270"/>
      <c r="AE169" s="270"/>
      <c r="AF169" s="270"/>
      <c r="AG169" s="270"/>
      <c r="AH169" s="270"/>
      <c r="AI169" s="270"/>
      <c r="AJ169" s="270"/>
      <c r="AK169" s="270"/>
      <c r="AL169" s="270"/>
      <c r="AM169" s="270"/>
      <c r="AN169" s="270"/>
      <c r="AO169" s="270"/>
      <c r="AP169" s="270"/>
      <c r="AQ169" s="270"/>
      <c r="AR169" s="270"/>
      <c r="AS169" s="270"/>
      <c r="AT169" s="270"/>
      <c r="AU169" s="270"/>
      <c r="AV169" s="270"/>
      <c r="AW169" s="270"/>
      <c r="AX169" s="270"/>
      <c r="AY169" s="270"/>
      <c r="AZ169" s="270"/>
      <c r="BA169" s="270"/>
      <c r="BB169" s="270"/>
      <c r="BC169" s="270"/>
      <c r="BD169" s="270"/>
      <c r="BE169" s="270"/>
    </row>
    <row r="170" spans="1:57">
      <c r="A170" s="151" t="s">
        <v>72</v>
      </c>
      <c r="B170" s="143"/>
      <c r="C170" s="143"/>
      <c r="D170" s="143"/>
      <c r="E170" s="143"/>
      <c r="F170" s="143"/>
      <c r="G170" s="138"/>
    </row>
    <row r="171" spans="1:57">
      <c r="A171" s="154" t="s">
        <v>47</v>
      </c>
      <c r="B171" s="141"/>
      <c r="C171" s="141"/>
      <c r="D171" s="141"/>
      <c r="E171" s="141">
        <v>0.87221832227509621</v>
      </c>
      <c r="F171" s="141">
        <v>0.92257581833303626</v>
      </c>
      <c r="G171" s="142">
        <v>0.96145115343871601</v>
      </c>
    </row>
    <row r="172" spans="1:57" ht="18">
      <c r="A172" s="154" t="s">
        <v>260</v>
      </c>
      <c r="B172" s="141"/>
      <c r="C172" s="141"/>
      <c r="D172" s="141"/>
      <c r="E172" s="141">
        <v>0.62019050510766227</v>
      </c>
      <c r="F172" s="141">
        <v>0.62468896033085386</v>
      </c>
      <c r="G172" s="142">
        <v>0.65786904748871444</v>
      </c>
    </row>
    <row r="173" spans="1:57">
      <c r="A173" s="154" t="s">
        <v>261</v>
      </c>
      <c r="B173" s="158"/>
      <c r="C173" s="158"/>
      <c r="D173" s="158"/>
      <c r="E173" s="158">
        <v>0.53338894530683301</v>
      </c>
      <c r="F173" s="158">
        <v>0.53720047715024344</v>
      </c>
      <c r="G173" s="159">
        <v>0.5745960472292555</v>
      </c>
    </row>
    <row r="174" spans="1:57" ht="18">
      <c r="A174" s="152" t="s">
        <v>262</v>
      </c>
      <c r="B174" s="158"/>
      <c r="C174" s="158"/>
      <c r="D174" s="158"/>
      <c r="E174" s="158">
        <v>0.38778536855571527</v>
      </c>
      <c r="F174" s="158">
        <v>0.39735621578995445</v>
      </c>
      <c r="G174" s="159">
        <v>0.37484705474553615</v>
      </c>
    </row>
    <row r="175" spans="1:57">
      <c r="A175" s="152" t="s">
        <v>48</v>
      </c>
      <c r="B175" s="158"/>
      <c r="C175" s="158"/>
      <c r="D175" s="158"/>
      <c r="E175" s="158">
        <v>0.7110496182767132</v>
      </c>
      <c r="F175" s="158">
        <v>0.67711395412420217</v>
      </c>
      <c r="G175" s="159">
        <v>0.6842459392094824</v>
      </c>
    </row>
    <row r="176" spans="1:57">
      <c r="A176" s="152" t="s">
        <v>57</v>
      </c>
      <c r="B176" s="160"/>
      <c r="C176" s="160"/>
      <c r="D176" s="160"/>
      <c r="E176" s="160">
        <v>5.7049534308598986</v>
      </c>
      <c r="F176" s="160">
        <v>5.784815632198721</v>
      </c>
      <c r="G176" s="161">
        <v>6.8215918031370375</v>
      </c>
    </row>
    <row r="177" spans="1:7">
      <c r="A177" s="152" t="s">
        <v>49</v>
      </c>
      <c r="B177" s="141"/>
      <c r="C177" s="141"/>
      <c r="D177" s="141"/>
      <c r="E177" s="141">
        <v>0.20561543727809709</v>
      </c>
      <c r="F177" s="141">
        <v>0.20155803808667316</v>
      </c>
      <c r="G177" s="142">
        <v>0.17669111560248543</v>
      </c>
    </row>
    <row r="178" spans="1:7">
      <c r="A178" s="151" t="s">
        <v>40</v>
      </c>
      <c r="B178" s="143"/>
      <c r="C178" s="143"/>
      <c r="D178" s="143"/>
      <c r="E178" s="143"/>
      <c r="F178" s="143"/>
      <c r="G178" s="138"/>
    </row>
    <row r="179" spans="1:7">
      <c r="A179" s="152" t="s">
        <v>58</v>
      </c>
      <c r="B179" s="141"/>
      <c r="C179" s="141"/>
      <c r="D179" s="141"/>
      <c r="E179" s="141">
        <v>6.3183334872004532E-2</v>
      </c>
      <c r="F179" s="141">
        <v>6.2913783793863309E-2</v>
      </c>
      <c r="G179" s="142">
        <v>5.3914023949304453E-2</v>
      </c>
    </row>
    <row r="180" spans="1:7">
      <c r="A180" s="153" t="s">
        <v>59</v>
      </c>
      <c r="B180" s="158"/>
      <c r="C180" s="158"/>
      <c r="D180" s="158"/>
      <c r="E180" s="158">
        <v>0.10719306806641785</v>
      </c>
      <c r="F180" s="158">
        <v>0.10065718960236218</v>
      </c>
      <c r="G180" s="159">
        <v>8.760919324988993E-2</v>
      </c>
    </row>
    <row r="181" spans="1:7">
      <c r="A181" s="153" t="s">
        <v>60</v>
      </c>
      <c r="B181" s="158"/>
      <c r="C181" s="158"/>
      <c r="D181" s="158"/>
      <c r="E181" s="158">
        <v>0.58943489548088634</v>
      </c>
      <c r="F181" s="158">
        <v>0.62503020442353852</v>
      </c>
      <c r="G181" s="159">
        <v>0.61539231157538576</v>
      </c>
    </row>
    <row r="182" spans="1:7">
      <c r="A182" s="151" t="s">
        <v>41</v>
      </c>
      <c r="B182" s="143"/>
      <c r="C182" s="143"/>
      <c r="D182" s="143"/>
      <c r="E182" s="143"/>
      <c r="F182" s="143"/>
      <c r="G182" s="138"/>
    </row>
    <row r="183" spans="1:7">
      <c r="A183" s="152" t="s">
        <v>65</v>
      </c>
      <c r="B183" s="162"/>
      <c r="C183" s="162"/>
      <c r="D183" s="162"/>
      <c r="E183" s="162">
        <v>5.4322313744496857E-2</v>
      </c>
      <c r="F183" s="162">
        <v>6.1138856692834156E-2</v>
      </c>
      <c r="G183" s="163">
        <v>4.713586762883408E-2</v>
      </c>
    </row>
    <row r="184" spans="1:7">
      <c r="A184" s="152" t="s">
        <v>66</v>
      </c>
      <c r="B184" s="162"/>
      <c r="C184" s="162"/>
      <c r="D184" s="162"/>
      <c r="E184" s="162">
        <v>3.6777743772826818E-2</v>
      </c>
      <c r="F184" s="162">
        <v>3.8405647069750519E-2</v>
      </c>
      <c r="G184" s="162">
        <v>3.2503909277524459E-2</v>
      </c>
    </row>
    <row r="185" spans="1:7">
      <c r="A185" s="152" t="s">
        <v>67</v>
      </c>
      <c r="B185" s="158"/>
      <c r="C185" s="158"/>
      <c r="D185" s="158"/>
      <c r="E185" s="158">
        <v>0.67702830085275223</v>
      </c>
      <c r="F185" s="158">
        <v>0.6281708417071511</v>
      </c>
      <c r="G185" s="159">
        <v>0.68957910212818652</v>
      </c>
    </row>
    <row r="186" spans="1:7">
      <c r="A186" s="153" t="s">
        <v>68</v>
      </c>
      <c r="B186" s="158"/>
      <c r="C186" s="158"/>
      <c r="D186" s="158"/>
      <c r="E186" s="158">
        <v>0.3017820888788631</v>
      </c>
      <c r="F186" s="158">
        <v>0.25591337434521461</v>
      </c>
      <c r="G186" s="159">
        <v>0.19108936389389647</v>
      </c>
    </row>
    <row r="187" spans="1:7">
      <c r="A187" s="153" t="s">
        <v>69</v>
      </c>
      <c r="B187" s="162"/>
      <c r="C187" s="162"/>
      <c r="D187" s="162"/>
      <c r="E187" s="162">
        <v>1.5930988738274744E-2</v>
      </c>
      <c r="F187" s="162">
        <v>1.2955713923595054E-2</v>
      </c>
      <c r="G187" s="163">
        <v>8.9600258469508705E-3</v>
      </c>
    </row>
    <row r="188" spans="1:7">
      <c r="A188" s="153" t="s">
        <v>70</v>
      </c>
      <c r="B188" s="162"/>
      <c r="C188" s="162"/>
      <c r="D188" s="162"/>
      <c r="E188" s="162">
        <v>5.4805325500115597E-2</v>
      </c>
      <c r="F188" s="162">
        <v>5.2647343500667056E-2</v>
      </c>
      <c r="G188" s="163">
        <v>4.8464466741091547E-2</v>
      </c>
    </row>
    <row r="189" spans="1:7">
      <c r="A189" s="155" t="s">
        <v>71</v>
      </c>
      <c r="B189" s="164"/>
      <c r="C189" s="164"/>
      <c r="D189" s="164"/>
      <c r="E189" s="164">
        <v>0.1184564011458059</v>
      </c>
      <c r="F189" s="164">
        <v>0.11711416216085691</v>
      </c>
      <c r="G189" s="165">
        <v>9.3829437583641317E-2</v>
      </c>
    </row>
    <row r="190" spans="1:7">
      <c r="A190" s="166"/>
    </row>
    <row r="191" spans="1:7">
      <c r="A191" s="167" t="s">
        <v>0</v>
      </c>
      <c r="B191" s="168"/>
      <c r="C191" s="169"/>
      <c r="D191" s="169"/>
      <c r="E191" s="169"/>
      <c r="F191" s="169"/>
      <c r="G191" s="144"/>
    </row>
    <row r="192" spans="1:7">
      <c r="A192" s="170" t="s">
        <v>50</v>
      </c>
      <c r="B192" s="171"/>
      <c r="C192" s="172"/>
      <c r="D192" s="172"/>
      <c r="E192" s="172"/>
      <c r="F192" s="172"/>
      <c r="G192" s="145"/>
    </row>
    <row r="193" spans="1:7">
      <c r="A193" s="170" t="s">
        <v>51</v>
      </c>
      <c r="B193" s="171"/>
      <c r="C193" s="172"/>
      <c r="D193" s="172"/>
      <c r="E193" s="172"/>
      <c r="F193" s="172"/>
      <c r="G193" s="145"/>
    </row>
    <row r="194" spans="1:7">
      <c r="A194" s="170" t="s">
        <v>52</v>
      </c>
      <c r="B194" s="171"/>
      <c r="C194" s="172"/>
      <c r="D194" s="172"/>
      <c r="E194" s="172"/>
      <c r="F194" s="172"/>
      <c r="G194" s="145"/>
    </row>
    <row r="195" spans="1:7">
      <c r="A195" s="170" t="s">
        <v>76</v>
      </c>
      <c r="B195" s="171"/>
      <c r="C195" s="172"/>
      <c r="D195" s="172"/>
      <c r="E195" s="172"/>
      <c r="F195" s="172"/>
      <c r="G195" s="145"/>
    </row>
    <row r="196" spans="1:7">
      <c r="A196" s="170" t="s">
        <v>53</v>
      </c>
      <c r="B196" s="171"/>
      <c r="C196" s="172"/>
      <c r="D196" s="172"/>
      <c r="E196" s="172"/>
      <c r="F196" s="172"/>
      <c r="G196" s="145"/>
    </row>
    <row r="197" spans="1:7">
      <c r="A197" s="170" t="s">
        <v>77</v>
      </c>
      <c r="B197" s="171"/>
      <c r="C197" s="172"/>
      <c r="D197" s="172"/>
      <c r="E197" s="172"/>
      <c r="F197" s="172"/>
      <c r="G197" s="145"/>
    </row>
    <row r="198" spans="1:7">
      <c r="A198" s="173" t="s">
        <v>62</v>
      </c>
      <c r="B198" s="174"/>
      <c r="C198" s="175"/>
      <c r="D198" s="175"/>
      <c r="E198" s="175"/>
      <c r="F198" s="175"/>
      <c r="G198" s="146"/>
    </row>
    <row r="199" spans="1:7">
      <c r="A199" s="149"/>
      <c r="B199" s="150"/>
      <c r="C199" s="149"/>
      <c r="D199" s="149"/>
      <c r="E199" s="149"/>
      <c r="F199" s="149"/>
      <c r="G199" s="149"/>
    </row>
    <row r="200" spans="1:7">
      <c r="A200" s="147"/>
      <c r="B200" s="148"/>
      <c r="C200" s="147"/>
      <c r="D200" s="147"/>
      <c r="E200" s="147"/>
      <c r="F200" s="147"/>
      <c r="G200" s="147"/>
    </row>
    <row r="201" spans="1:7">
      <c r="A201" s="147"/>
      <c r="B201" s="148"/>
      <c r="C201" s="147"/>
      <c r="D201" s="147"/>
      <c r="E201" s="147"/>
      <c r="F201" s="147"/>
      <c r="G201" s="147"/>
    </row>
    <row r="202" spans="1:7">
      <c r="A202" s="147"/>
      <c r="B202" s="148"/>
      <c r="C202" s="147"/>
      <c r="D202" s="147"/>
      <c r="E202" s="147"/>
      <c r="F202" s="147"/>
      <c r="G202" s="147"/>
    </row>
    <row r="203" spans="1:7">
      <c r="A203" s="149"/>
      <c r="B203" s="150"/>
      <c r="C203" s="149"/>
      <c r="D203" s="149"/>
      <c r="E203" s="149"/>
      <c r="F203" s="149"/>
      <c r="G203" s="149"/>
    </row>
    <row r="204" spans="1:7">
      <c r="A204" s="147"/>
      <c r="B204" s="148"/>
      <c r="C204" s="147"/>
      <c r="D204" s="147"/>
      <c r="E204" s="147"/>
      <c r="F204" s="147"/>
      <c r="G204" s="147"/>
    </row>
    <row r="205" spans="1:7">
      <c r="A205" s="147"/>
      <c r="B205" s="148"/>
      <c r="C205" s="147"/>
      <c r="D205" s="147"/>
      <c r="E205" s="147"/>
      <c r="F205" s="147"/>
      <c r="G205" s="147"/>
    </row>
    <row r="206" spans="1:7">
      <c r="A206" s="149"/>
      <c r="B206" s="150"/>
      <c r="C206" s="149"/>
      <c r="D206" s="149"/>
      <c r="E206" s="149"/>
      <c r="F206" s="149"/>
      <c r="G206" s="149"/>
    </row>
    <row r="207" spans="1:7">
      <c r="A207" s="147"/>
      <c r="B207" s="148"/>
      <c r="C207" s="147"/>
      <c r="D207" s="147"/>
      <c r="E207" s="147"/>
      <c r="F207" s="147"/>
      <c r="G207" s="147"/>
    </row>
    <row r="208" spans="1:7">
      <c r="A208" s="147"/>
      <c r="B208" s="148"/>
      <c r="C208" s="147"/>
      <c r="D208" s="147"/>
      <c r="E208" s="147"/>
      <c r="F208" s="147"/>
      <c r="G208" s="147"/>
    </row>
  </sheetData>
  <phoneticPr fontId="0" type="noConversion"/>
  <printOptions horizontalCentered="1" gridLines="1"/>
  <pageMargins left="0.25" right="0.25" top="0.75" bottom="0.75" header="0.3" footer="0.3"/>
  <pageSetup paperSize="9" scale="71" fitToHeight="0" orientation="portrait"/>
  <headerFooter>
    <oddFooter>Page &amp;P</oddFooter>
  </headerFooter>
  <rowBreaks count="3" manualBreakCount="3">
    <brk id="49" max="16383" man="1"/>
    <brk id="128" max="16383" man="1"/>
    <brk id="152" max="16383" man="1"/>
  </rowBreak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68" r:id="rId3" name="LBL_UPDATED_GRAPHS">
              <controlPr defaultSize="0" autoFill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1485900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C0604-7048-5F47-B3A3-C80E4ED48525}">
  <dimension ref="A1:L20"/>
  <sheetViews>
    <sheetView showGridLines="0" zoomScale="110" zoomScaleNormal="110" workbookViewId="0"/>
  </sheetViews>
  <sheetFormatPr baseColWidth="10" defaultColWidth="10.6640625" defaultRowHeight="15.75"/>
  <cols>
    <col min="1" max="1" width="44.1640625" style="238" customWidth="1"/>
    <col min="2" max="3" width="17.1640625" style="238" customWidth="1"/>
    <col min="4" max="4" width="21" style="238" customWidth="1"/>
    <col min="5" max="6" width="17.1640625" style="238" customWidth="1"/>
    <col min="7" max="7" width="20.6640625" style="238" customWidth="1"/>
    <col min="8" max="11" width="10.6640625" style="238"/>
    <col min="12" max="12" width="23.1640625" style="238" bestFit="1" customWidth="1"/>
    <col min="13" max="16384" width="10.6640625" style="238"/>
  </cols>
  <sheetData>
    <row r="1" spans="1:12">
      <c r="A1" s="273" t="s">
        <v>279</v>
      </c>
    </row>
    <row r="3" spans="1:12">
      <c r="B3" s="264">
        <v>2018</v>
      </c>
      <c r="C3" s="265"/>
      <c r="D3" s="266"/>
      <c r="E3" s="264">
        <v>2019</v>
      </c>
      <c r="F3" s="265"/>
      <c r="G3" s="266"/>
    </row>
    <row r="4" spans="1:12" ht="31.5">
      <c r="A4" s="239" t="s">
        <v>244</v>
      </c>
      <c r="B4" s="240" t="s">
        <v>273</v>
      </c>
      <c r="C4" s="240" t="s">
        <v>274</v>
      </c>
      <c r="D4" s="240" t="s">
        <v>132</v>
      </c>
      <c r="E4" s="240" t="s">
        <v>273</v>
      </c>
      <c r="F4" s="240" t="s">
        <v>274</v>
      </c>
      <c r="G4" s="240" t="s">
        <v>132</v>
      </c>
    </row>
    <row r="5" spans="1:12">
      <c r="A5" s="241" t="s">
        <v>124</v>
      </c>
      <c r="B5" s="242"/>
      <c r="C5" s="242"/>
      <c r="D5" s="242"/>
      <c r="E5" s="242"/>
      <c r="F5" s="243"/>
      <c r="G5" s="242"/>
    </row>
    <row r="6" spans="1:12">
      <c r="A6" s="244" t="s">
        <v>245</v>
      </c>
      <c r="B6" s="245">
        <v>6.25E-2</v>
      </c>
      <c r="C6" s="246">
        <v>0.1091</v>
      </c>
      <c r="D6" s="247" t="s">
        <v>133</v>
      </c>
      <c r="E6" s="248">
        <v>6.8750000000000006E-2</v>
      </c>
      <c r="F6" s="237">
        <v>0.1145</v>
      </c>
      <c r="G6" s="247" t="s">
        <v>133</v>
      </c>
    </row>
    <row r="7" spans="1:12">
      <c r="A7" s="244" t="s">
        <v>246</v>
      </c>
      <c r="B7" s="245">
        <v>7.2499999999999995E-2</v>
      </c>
      <c r="C7" s="246">
        <v>0.11269999999999999</v>
      </c>
      <c r="D7" s="247" t="s">
        <v>133</v>
      </c>
      <c r="E7" s="248">
        <v>7.8750000000000001E-2</v>
      </c>
      <c r="F7" s="237">
        <v>0.1186</v>
      </c>
      <c r="G7" s="247" t="s">
        <v>133</v>
      </c>
    </row>
    <row r="8" spans="1:12">
      <c r="A8" s="244" t="s">
        <v>125</v>
      </c>
      <c r="B8" s="245">
        <v>9.5000000000000001E-2</v>
      </c>
      <c r="C8" s="246">
        <v>0.1208</v>
      </c>
      <c r="D8" s="247" t="s">
        <v>133</v>
      </c>
      <c r="E8" s="248">
        <v>0.10375</v>
      </c>
      <c r="F8" s="237">
        <v>0.12770000000000001</v>
      </c>
      <c r="G8" s="247" t="s">
        <v>133</v>
      </c>
    </row>
    <row r="9" spans="1:12">
      <c r="A9" s="241" t="s">
        <v>247</v>
      </c>
      <c r="B9" s="242"/>
      <c r="C9" s="243"/>
      <c r="D9" s="249"/>
      <c r="E9" s="242"/>
      <c r="F9" s="243"/>
      <c r="G9" s="249"/>
    </row>
    <row r="10" spans="1:12">
      <c r="A10" s="244" t="s">
        <v>126</v>
      </c>
      <c r="B10" s="250">
        <v>0.55000000000000004</v>
      </c>
      <c r="C10" s="246">
        <v>0.36199999999999999</v>
      </c>
      <c r="D10" s="247" t="s">
        <v>133</v>
      </c>
      <c r="E10" s="250">
        <v>0.45</v>
      </c>
      <c r="F10" s="246">
        <v>0.2767</v>
      </c>
      <c r="G10" s="247" t="s">
        <v>133</v>
      </c>
    </row>
    <row r="11" spans="1:12">
      <c r="A11" s="241" t="s">
        <v>127</v>
      </c>
      <c r="B11" s="242"/>
      <c r="C11" s="243"/>
      <c r="D11" s="249"/>
      <c r="E11" s="242"/>
      <c r="F11" s="243"/>
      <c r="G11" s="249"/>
    </row>
    <row r="12" spans="1:12">
      <c r="A12" s="244" t="s">
        <v>128</v>
      </c>
      <c r="B12" s="250">
        <v>0.03</v>
      </c>
      <c r="C12" s="246">
        <v>6.93E-2</v>
      </c>
      <c r="D12" s="247" t="s">
        <v>133</v>
      </c>
      <c r="E12" s="250">
        <v>0.03</v>
      </c>
      <c r="F12" s="246">
        <v>5.9200000000000003E-2</v>
      </c>
      <c r="G12" s="247" t="s">
        <v>133</v>
      </c>
    </row>
    <row r="13" spans="1:12">
      <c r="A13" s="241" t="s">
        <v>129</v>
      </c>
      <c r="B13" s="242"/>
      <c r="C13" s="243"/>
      <c r="D13" s="249"/>
      <c r="E13" s="242"/>
      <c r="F13" s="243"/>
      <c r="G13" s="249"/>
      <c r="L13" s="251"/>
    </row>
    <row r="14" spans="1:12" ht="47.25">
      <c r="A14" s="252" t="s">
        <v>131</v>
      </c>
      <c r="B14" s="250">
        <v>0.25</v>
      </c>
      <c r="C14" s="253">
        <v>0.25</v>
      </c>
      <c r="D14" s="247" t="s">
        <v>133</v>
      </c>
      <c r="E14" s="250">
        <v>0.25</v>
      </c>
      <c r="F14" s="246">
        <v>0.15</v>
      </c>
      <c r="G14" s="247" t="s">
        <v>133</v>
      </c>
      <c r="L14" s="251"/>
    </row>
    <row r="15" spans="1:12" ht="47.25">
      <c r="A15" s="252" t="s">
        <v>248</v>
      </c>
      <c r="B15" s="250">
        <v>0.15</v>
      </c>
      <c r="C15" s="246">
        <v>6.9999999999999999E-4</v>
      </c>
      <c r="D15" s="247" t="s">
        <v>133</v>
      </c>
      <c r="E15" s="250">
        <v>0.15</v>
      </c>
      <c r="F15" s="246">
        <v>5.9999999999999995E-4</v>
      </c>
      <c r="G15" s="247" t="s">
        <v>133</v>
      </c>
      <c r="L15" s="251"/>
    </row>
    <row r="16" spans="1:12" ht="47.25">
      <c r="A16" s="252" t="s">
        <v>249</v>
      </c>
      <c r="B16" s="250">
        <v>0.6</v>
      </c>
      <c r="C16" s="246">
        <v>8.0000000000000004E-4</v>
      </c>
      <c r="D16" s="247" t="s">
        <v>133</v>
      </c>
      <c r="E16" s="250">
        <v>0.6</v>
      </c>
      <c r="F16" s="246">
        <v>5.9999999999999995E-4</v>
      </c>
      <c r="G16" s="247" t="s">
        <v>133</v>
      </c>
      <c r="L16" s="251"/>
    </row>
    <row r="17" spans="1:12">
      <c r="A17" s="244" t="s">
        <v>250</v>
      </c>
      <c r="B17" s="250">
        <v>0.15</v>
      </c>
      <c r="C17" s="246">
        <v>3.3500000000000002E-2</v>
      </c>
      <c r="D17" s="247" t="s">
        <v>133</v>
      </c>
      <c r="E17" s="250">
        <v>0.15</v>
      </c>
      <c r="F17" s="246">
        <v>6.93E-2</v>
      </c>
      <c r="G17" s="247" t="s">
        <v>133</v>
      </c>
      <c r="L17" s="251"/>
    </row>
    <row r="18" spans="1:12">
      <c r="A18" s="244" t="s">
        <v>130</v>
      </c>
      <c r="B18" s="250">
        <v>1</v>
      </c>
      <c r="C18" s="246">
        <v>0.17899999999999999</v>
      </c>
      <c r="D18" s="247" t="s">
        <v>133</v>
      </c>
      <c r="E18" s="250">
        <v>1</v>
      </c>
      <c r="F18" s="246">
        <v>0.3402</v>
      </c>
      <c r="G18" s="247" t="s">
        <v>133</v>
      </c>
      <c r="L18" s="251"/>
    </row>
    <row r="19" spans="1:12">
      <c r="A19" s="244" t="s">
        <v>251</v>
      </c>
      <c r="B19" s="250">
        <v>0.2</v>
      </c>
      <c r="C19" s="246">
        <v>0.1263</v>
      </c>
      <c r="D19" s="247" t="s">
        <v>133</v>
      </c>
      <c r="E19" s="250">
        <v>0.2</v>
      </c>
      <c r="F19" s="246">
        <v>0.1449</v>
      </c>
      <c r="G19" s="247" t="s">
        <v>133</v>
      </c>
      <c r="L19" s="251"/>
    </row>
    <row r="20" spans="1:12">
      <c r="L20" s="251"/>
    </row>
  </sheetData>
  <mergeCells count="2">
    <mergeCell ref="B3:D3"/>
    <mergeCell ref="E3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DF472-D369-3443-91AC-939C5A06F394}">
  <dimension ref="A1:F29"/>
  <sheetViews>
    <sheetView showGridLines="0" zoomScale="110" zoomScaleNormal="110" workbookViewId="0">
      <selection activeCell="I13" sqref="I13"/>
    </sheetView>
  </sheetViews>
  <sheetFormatPr baseColWidth="10" defaultColWidth="10.6640625" defaultRowHeight="15.75"/>
  <cols>
    <col min="1" max="1" width="47.6640625" style="238" customWidth="1"/>
    <col min="2" max="3" width="17.1640625" style="238" customWidth="1"/>
    <col min="4" max="4" width="21" style="238" customWidth="1"/>
    <col min="5" max="5" width="6.1640625" style="238" customWidth="1"/>
    <col min="6" max="6" width="17.1640625" style="238" customWidth="1"/>
    <col min="7" max="7" width="20.6640625" style="238" customWidth="1"/>
    <col min="8" max="11" width="10.6640625" style="238"/>
    <col min="12" max="12" width="23.1640625" style="238" bestFit="1" customWidth="1"/>
    <col min="13" max="16384" width="10.6640625" style="238"/>
  </cols>
  <sheetData>
    <row r="1" spans="1:6">
      <c r="A1" s="273" t="s">
        <v>280</v>
      </c>
    </row>
    <row r="3" spans="1:6">
      <c r="A3" s="5" t="s">
        <v>272</v>
      </c>
      <c r="B3" s="254">
        <v>2017</v>
      </c>
      <c r="C3" s="254">
        <v>2018</v>
      </c>
      <c r="D3" s="254">
        <v>2019</v>
      </c>
      <c r="E3" s="6"/>
      <c r="F3" s="254" t="s">
        <v>253</v>
      </c>
    </row>
    <row r="4" spans="1:6">
      <c r="A4" s="87" t="s">
        <v>122</v>
      </c>
      <c r="B4" s="258">
        <v>0.98</v>
      </c>
      <c r="C4" s="258">
        <v>1.17</v>
      </c>
      <c r="D4" s="258">
        <v>1.1299999999999999</v>
      </c>
      <c r="E4" s="6"/>
      <c r="F4" s="85">
        <v>0.75</v>
      </c>
    </row>
    <row r="5" spans="1:6" ht="30">
      <c r="A5" s="255" t="s">
        <v>252</v>
      </c>
      <c r="B5" s="259">
        <v>1.45</v>
      </c>
      <c r="C5" s="259">
        <v>0.67</v>
      </c>
      <c r="D5" s="259">
        <v>1.08</v>
      </c>
      <c r="E5" s="6"/>
      <c r="F5" s="256">
        <v>0.5</v>
      </c>
    </row>
    <row r="6" spans="1:6">
      <c r="A6" s="257"/>
      <c r="B6" s="260"/>
      <c r="C6" s="260"/>
      <c r="D6" s="260"/>
      <c r="E6" s="257"/>
      <c r="F6" s="257"/>
    </row>
    <row r="7" spans="1:6">
      <c r="A7" s="5" t="s">
        <v>268</v>
      </c>
      <c r="B7" s="261">
        <v>2017</v>
      </c>
      <c r="C7" s="261">
        <v>2018</v>
      </c>
      <c r="D7" s="261">
        <v>2019</v>
      </c>
      <c r="E7" s="6"/>
      <c r="F7" s="254" t="s">
        <v>253</v>
      </c>
    </row>
    <row r="8" spans="1:6">
      <c r="A8" s="87" t="s">
        <v>122</v>
      </c>
      <c r="B8" s="258">
        <v>0.92</v>
      </c>
      <c r="C8" s="258">
        <v>1.18</v>
      </c>
      <c r="D8" s="258">
        <v>1.27</v>
      </c>
      <c r="E8" s="6"/>
      <c r="F8" s="85">
        <v>0.75</v>
      </c>
    </row>
    <row r="9" spans="1:6" ht="30">
      <c r="A9" s="255" t="s">
        <v>252</v>
      </c>
      <c r="B9" s="259">
        <v>1.2</v>
      </c>
      <c r="C9" s="259">
        <v>0.78</v>
      </c>
      <c r="D9" s="259">
        <v>1.63</v>
      </c>
      <c r="E9" s="6"/>
      <c r="F9" s="256">
        <v>0.5</v>
      </c>
    </row>
    <row r="10" spans="1:6">
      <c r="A10" s="257"/>
      <c r="B10" s="260"/>
      <c r="C10" s="260"/>
      <c r="D10" s="260"/>
      <c r="E10" s="257"/>
      <c r="F10" s="257"/>
    </row>
    <row r="11" spans="1:6">
      <c r="A11" s="5" t="s">
        <v>270</v>
      </c>
      <c r="B11" s="261">
        <v>2017</v>
      </c>
      <c r="C11" s="261">
        <v>2018</v>
      </c>
      <c r="D11" s="261">
        <v>2019</v>
      </c>
      <c r="E11" s="6"/>
      <c r="F11" s="254" t="s">
        <v>253</v>
      </c>
    </row>
    <row r="12" spans="1:6">
      <c r="A12" s="87" t="s">
        <v>122</v>
      </c>
      <c r="B12" s="258">
        <v>0.79</v>
      </c>
      <c r="C12" s="258">
        <v>0.97</v>
      </c>
      <c r="D12" s="258">
        <v>0.76</v>
      </c>
      <c r="E12" s="6"/>
      <c r="F12" s="85">
        <v>0.75</v>
      </c>
    </row>
    <row r="13" spans="1:6" ht="30">
      <c r="A13" s="255" t="s">
        <v>252</v>
      </c>
      <c r="B13" s="259">
        <v>0.88</v>
      </c>
      <c r="C13" s="259">
        <v>0.83</v>
      </c>
      <c r="D13" s="259">
        <v>0.91</v>
      </c>
      <c r="E13" s="6"/>
      <c r="F13" s="256">
        <v>0.5</v>
      </c>
    </row>
    <row r="14" spans="1:6">
      <c r="A14" s="257"/>
      <c r="B14" s="260"/>
      <c r="C14" s="260"/>
      <c r="D14" s="260"/>
      <c r="E14" s="257"/>
      <c r="F14" s="257"/>
    </row>
    <row r="15" spans="1:6">
      <c r="A15" s="5" t="s">
        <v>269</v>
      </c>
      <c r="B15" s="261">
        <v>2017</v>
      </c>
      <c r="C15" s="261">
        <v>2018</v>
      </c>
      <c r="D15" s="261">
        <v>2019</v>
      </c>
      <c r="E15" s="6"/>
      <c r="F15" s="254" t="s">
        <v>253</v>
      </c>
    </row>
    <row r="16" spans="1:6">
      <c r="A16" s="87" t="s">
        <v>122</v>
      </c>
      <c r="B16" s="258">
        <v>0.99</v>
      </c>
      <c r="C16" s="258">
        <v>1.31</v>
      </c>
      <c r="D16" s="258">
        <v>1.33</v>
      </c>
      <c r="E16" s="6"/>
      <c r="F16" s="85">
        <v>0.75</v>
      </c>
    </row>
    <row r="17" spans="1:6" ht="30">
      <c r="A17" s="255" t="s">
        <v>252</v>
      </c>
      <c r="B17" s="259">
        <v>1.18</v>
      </c>
      <c r="C17" s="259">
        <v>1.59</v>
      </c>
      <c r="D17" s="259">
        <v>1.81</v>
      </c>
      <c r="E17" s="6"/>
      <c r="F17" s="256">
        <v>0.5</v>
      </c>
    </row>
    <row r="18" spans="1:6">
      <c r="A18" s="257"/>
      <c r="B18" s="260"/>
      <c r="C18" s="260"/>
      <c r="D18" s="260"/>
      <c r="E18" s="257"/>
      <c r="F18" s="257"/>
    </row>
    <row r="19" spans="1:6">
      <c r="A19" s="5" t="s">
        <v>275</v>
      </c>
      <c r="B19" s="261">
        <v>2017</v>
      </c>
      <c r="C19" s="261">
        <v>2018</v>
      </c>
      <c r="D19" s="261">
        <v>2019</v>
      </c>
      <c r="E19" s="6"/>
      <c r="F19" s="254" t="s">
        <v>253</v>
      </c>
    </row>
    <row r="20" spans="1:6">
      <c r="A20" s="87" t="s">
        <v>122</v>
      </c>
      <c r="B20" s="258">
        <v>0.99</v>
      </c>
      <c r="C20" s="258">
        <v>1.39</v>
      </c>
      <c r="D20" s="258">
        <v>1.35</v>
      </c>
      <c r="E20" s="6"/>
      <c r="F20" s="85">
        <v>0.75</v>
      </c>
    </row>
    <row r="21" spans="1:6" ht="30">
      <c r="A21" s="255" t="s">
        <v>252</v>
      </c>
      <c r="B21" s="259">
        <v>0.84</v>
      </c>
      <c r="C21" s="259">
        <v>3.7</v>
      </c>
      <c r="D21" s="259">
        <v>0.52</v>
      </c>
      <c r="E21" s="6"/>
      <c r="F21" s="256">
        <v>0.5</v>
      </c>
    </row>
    <row r="22" spans="1:6">
      <c r="A22" s="257"/>
      <c r="B22" s="260"/>
      <c r="C22" s="260"/>
      <c r="D22" s="260"/>
      <c r="E22" s="257"/>
      <c r="F22" s="257"/>
    </row>
    <row r="23" spans="1:6">
      <c r="A23" s="5" t="s">
        <v>271</v>
      </c>
      <c r="B23" s="261">
        <v>2017</v>
      </c>
      <c r="C23" s="261">
        <v>2018</v>
      </c>
      <c r="D23" s="261">
        <v>2019</v>
      </c>
      <c r="E23" s="6"/>
      <c r="F23" s="254" t="s">
        <v>253</v>
      </c>
    </row>
    <row r="24" spans="1:6">
      <c r="A24" s="87" t="s">
        <v>122</v>
      </c>
      <c r="B24" s="258" t="s">
        <v>123</v>
      </c>
      <c r="C24" s="262">
        <v>0.91200000000000003</v>
      </c>
      <c r="D24" s="262">
        <v>1.1220000000000001</v>
      </c>
      <c r="E24" s="6"/>
      <c r="F24" s="85">
        <v>0.75</v>
      </c>
    </row>
    <row r="25" spans="1:6" ht="30">
      <c r="A25" s="255" t="s">
        <v>252</v>
      </c>
      <c r="B25" s="259" t="s">
        <v>123</v>
      </c>
      <c r="C25" s="259">
        <v>1.33</v>
      </c>
      <c r="D25" s="263">
        <v>0.89400000000000002</v>
      </c>
      <c r="E25" s="6"/>
      <c r="F25" s="256">
        <v>0.5</v>
      </c>
    </row>
    <row r="26" spans="1:6">
      <c r="A26" s="257"/>
      <c r="B26" s="260"/>
      <c r="C26" s="260"/>
      <c r="D26" s="260"/>
      <c r="E26" s="257"/>
      <c r="F26" s="257"/>
    </row>
    <row r="27" spans="1:6">
      <c r="A27" s="5" t="s">
        <v>276</v>
      </c>
      <c r="B27" s="261">
        <v>2017</v>
      </c>
      <c r="C27" s="261">
        <v>2018</v>
      </c>
      <c r="D27" s="261">
        <v>2019</v>
      </c>
      <c r="E27" s="6"/>
      <c r="F27" s="254" t="s">
        <v>253</v>
      </c>
    </row>
    <row r="28" spans="1:6">
      <c r="A28" s="87" t="s">
        <v>122</v>
      </c>
      <c r="B28" s="258"/>
      <c r="C28" s="262"/>
      <c r="D28" s="262"/>
      <c r="E28" s="6"/>
      <c r="F28" s="85">
        <v>0.75</v>
      </c>
    </row>
    <row r="29" spans="1:6" ht="30">
      <c r="A29" s="255" t="s">
        <v>252</v>
      </c>
      <c r="B29" s="259"/>
      <c r="C29" s="259"/>
      <c r="D29" s="263"/>
      <c r="E29" s="6"/>
      <c r="F29" s="256">
        <v>0.5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F3:N55"/>
  <sheetViews>
    <sheetView showGridLines="0" workbookViewId="0">
      <selection activeCell="J66" sqref="J66"/>
    </sheetView>
  </sheetViews>
  <sheetFormatPr baseColWidth="10" defaultColWidth="10.6640625" defaultRowHeight="15"/>
  <cols>
    <col min="1" max="6" width="10.6640625" style="1"/>
    <col min="7" max="7" width="82.1640625" style="1" bestFit="1" customWidth="1"/>
    <col min="8" max="8" width="20" style="1" customWidth="1"/>
    <col min="9" max="9" width="16" style="1" bestFit="1" customWidth="1"/>
    <col min="10" max="10" width="6.1640625" customWidth="1"/>
    <col min="11" max="11" width="10.6640625" style="1"/>
    <col min="12" max="12" width="86.1640625" style="1" bestFit="1" customWidth="1"/>
    <col min="13" max="13" width="20" style="1" customWidth="1"/>
    <col min="14" max="14" width="16" style="1" bestFit="1" customWidth="1"/>
    <col min="15" max="15" width="6.1640625" style="1" customWidth="1"/>
    <col min="16" max="16384" width="10.6640625" style="1"/>
  </cols>
  <sheetData>
    <row r="3" spans="6:14">
      <c r="G3" s="23" t="s">
        <v>174</v>
      </c>
      <c r="H3" s="24" t="s">
        <v>189</v>
      </c>
      <c r="I3" s="24" t="s">
        <v>191</v>
      </c>
      <c r="L3" s="23" t="s">
        <v>192</v>
      </c>
      <c r="M3" s="24" t="s">
        <v>189</v>
      </c>
      <c r="N3" s="24" t="s">
        <v>191</v>
      </c>
    </row>
    <row r="4" spans="6:14">
      <c r="F4" s="1">
        <v>1</v>
      </c>
      <c r="G4" s="25" t="s">
        <v>166</v>
      </c>
      <c r="H4" s="26">
        <v>69892</v>
      </c>
      <c r="I4" s="27">
        <f>H4/$H$27</f>
        <v>0.2537135721442158</v>
      </c>
      <c r="K4" s="1">
        <v>1</v>
      </c>
      <c r="L4" s="25" t="s">
        <v>193</v>
      </c>
      <c r="M4" s="26">
        <v>70518</v>
      </c>
      <c r="N4" s="27">
        <f>M4/$H$27</f>
        <v>0.25598600241037334</v>
      </c>
    </row>
    <row r="5" spans="6:14">
      <c r="F5" s="1">
        <v>2</v>
      </c>
      <c r="G5" s="28" t="s">
        <v>177</v>
      </c>
      <c r="H5" s="29">
        <v>37620</v>
      </c>
      <c r="I5" s="30">
        <f t="shared" ref="I5:I23" si="0">H5/$H$27</f>
        <v>0.13656362078729181</v>
      </c>
      <c r="K5" s="1">
        <v>2</v>
      </c>
      <c r="L5" s="28" t="s">
        <v>194</v>
      </c>
      <c r="M5" s="29">
        <v>49660</v>
      </c>
      <c r="N5" s="30">
        <f t="shared" ref="N5:N21" si="1">M5/$H$27</f>
        <v>0.18026978756770098</v>
      </c>
    </row>
    <row r="6" spans="6:14">
      <c r="F6" s="1">
        <v>3</v>
      </c>
      <c r="G6" s="25" t="s">
        <v>167</v>
      </c>
      <c r="H6" s="26">
        <v>10716</v>
      </c>
      <c r="I6" s="27">
        <f t="shared" si="0"/>
        <v>3.8899940466683124E-2</v>
      </c>
      <c r="K6" s="1">
        <v>3</v>
      </c>
      <c r="L6" s="25" t="s">
        <v>195</v>
      </c>
      <c r="M6" s="26">
        <v>43922</v>
      </c>
      <c r="N6" s="27">
        <f t="shared" si="1"/>
        <v>0.1594403868213565</v>
      </c>
    </row>
    <row r="7" spans="6:14">
      <c r="F7" s="1">
        <v>4</v>
      </c>
      <c r="G7" s="28" t="s">
        <v>178</v>
      </c>
      <c r="H7" s="29">
        <v>10440</v>
      </c>
      <c r="I7" s="30">
        <f t="shared" si="0"/>
        <v>3.78980383046073E-2</v>
      </c>
      <c r="K7" s="1">
        <v>4</v>
      </c>
      <c r="L7" s="28" t="s">
        <v>196</v>
      </c>
      <c r="M7" s="29">
        <v>32893</v>
      </c>
      <c r="N7" s="30">
        <f t="shared" si="1"/>
        <v>0.11940423122159462</v>
      </c>
    </row>
    <row r="8" spans="6:14">
      <c r="F8" s="1">
        <v>5</v>
      </c>
      <c r="G8" s="25" t="s">
        <v>179</v>
      </c>
      <c r="H8" s="26">
        <v>10000</v>
      </c>
      <c r="I8" s="27">
        <f t="shared" si="0"/>
        <v>3.630080297376178E-2</v>
      </c>
      <c r="K8" s="1">
        <v>5</v>
      </c>
      <c r="L8" s="25" t="s">
        <v>197</v>
      </c>
      <c r="M8" s="26">
        <v>32676</v>
      </c>
      <c r="N8" s="27">
        <f t="shared" si="1"/>
        <v>0.118616503797064</v>
      </c>
    </row>
    <row r="9" spans="6:14">
      <c r="F9" s="1">
        <v>6</v>
      </c>
      <c r="G9" s="28" t="s">
        <v>169</v>
      </c>
      <c r="H9" s="29">
        <v>8553</v>
      </c>
      <c r="I9" s="30">
        <f t="shared" si="0"/>
        <v>3.1048076783458452E-2</v>
      </c>
      <c r="K9" s="1">
        <v>6</v>
      </c>
      <c r="L9" s="28" t="s">
        <v>198</v>
      </c>
      <c r="M9" s="29">
        <v>13420</v>
      </c>
      <c r="N9" s="30">
        <f t="shared" si="1"/>
        <v>4.8715677590788306E-2</v>
      </c>
    </row>
    <row r="10" spans="6:14">
      <c r="F10" s="1">
        <v>7</v>
      </c>
      <c r="G10" s="25" t="s">
        <v>168</v>
      </c>
      <c r="H10" s="26">
        <v>5844</v>
      </c>
      <c r="I10" s="27">
        <f t="shared" si="0"/>
        <v>2.1214189257866382E-2</v>
      </c>
      <c r="K10" s="1">
        <v>7</v>
      </c>
      <c r="L10" s="25" t="s">
        <v>199</v>
      </c>
      <c r="M10" s="26">
        <v>8771</v>
      </c>
      <c r="N10" s="27">
        <f t="shared" si="1"/>
        <v>3.1839434288286457E-2</v>
      </c>
    </row>
    <row r="11" spans="6:14">
      <c r="F11" s="1">
        <v>8</v>
      </c>
      <c r="G11" s="28" t="s">
        <v>180</v>
      </c>
      <c r="H11" s="29">
        <v>5760</v>
      </c>
      <c r="I11" s="30">
        <f t="shared" si="0"/>
        <v>2.0909262512886787E-2</v>
      </c>
      <c r="K11" s="1">
        <v>8</v>
      </c>
      <c r="L11" s="28" t="s">
        <v>200</v>
      </c>
      <c r="M11" s="29">
        <v>8326</v>
      </c>
      <c r="N11" s="30">
        <f t="shared" si="1"/>
        <v>3.0224048555954057E-2</v>
      </c>
    </row>
    <row r="12" spans="6:14">
      <c r="F12" s="1">
        <v>9</v>
      </c>
      <c r="G12" s="25" t="s">
        <v>181</v>
      </c>
      <c r="H12" s="26">
        <v>5000</v>
      </c>
      <c r="I12" s="27">
        <f t="shared" si="0"/>
        <v>1.815040148688089E-2</v>
      </c>
      <c r="K12" s="1">
        <v>9</v>
      </c>
      <c r="L12" s="25" t="s">
        <v>201</v>
      </c>
      <c r="M12" s="26">
        <v>7621</v>
      </c>
      <c r="N12" s="27">
        <f t="shared" si="1"/>
        <v>2.7664841946303854E-2</v>
      </c>
    </row>
    <row r="13" spans="6:14">
      <c r="F13" s="1">
        <v>10</v>
      </c>
      <c r="G13" s="28" t="s">
        <v>171</v>
      </c>
      <c r="H13" s="29">
        <v>4293</v>
      </c>
      <c r="I13" s="30">
        <f t="shared" si="0"/>
        <v>1.5583934716635932E-2</v>
      </c>
      <c r="K13" s="1">
        <v>10</v>
      </c>
      <c r="L13" s="28" t="s">
        <v>202</v>
      </c>
      <c r="M13" s="29">
        <v>2642</v>
      </c>
      <c r="N13" s="30">
        <f t="shared" si="1"/>
        <v>9.5906721456678629E-3</v>
      </c>
    </row>
    <row r="14" spans="6:14">
      <c r="F14" s="1">
        <v>11</v>
      </c>
      <c r="G14" s="25" t="s">
        <v>170</v>
      </c>
      <c r="H14" s="26">
        <v>4260</v>
      </c>
      <c r="I14" s="27">
        <f t="shared" si="0"/>
        <v>1.5464142066822518E-2</v>
      </c>
      <c r="K14" s="1">
        <v>11</v>
      </c>
      <c r="L14" s="25" t="s">
        <v>203</v>
      </c>
      <c r="M14" s="26">
        <v>1020</v>
      </c>
      <c r="N14" s="27">
        <f t="shared" si="1"/>
        <v>3.7026819033237016E-3</v>
      </c>
    </row>
    <row r="15" spans="6:14">
      <c r="F15" s="1">
        <v>12</v>
      </c>
      <c r="G15" s="28" t="s">
        <v>172</v>
      </c>
      <c r="H15" s="29">
        <v>4241</v>
      </c>
      <c r="I15" s="30">
        <f t="shared" si="0"/>
        <v>1.539517054117237E-2</v>
      </c>
      <c r="K15" s="1">
        <v>12</v>
      </c>
      <c r="L15" s="28" t="s">
        <v>204</v>
      </c>
      <c r="M15" s="29">
        <v>930</v>
      </c>
      <c r="N15" s="30">
        <f t="shared" si="1"/>
        <v>3.3759746765598454E-3</v>
      </c>
    </row>
    <row r="16" spans="6:14">
      <c r="F16" s="1">
        <v>13</v>
      </c>
      <c r="G16" s="25" t="s">
        <v>182</v>
      </c>
      <c r="H16" s="26">
        <v>3500</v>
      </c>
      <c r="I16" s="27">
        <f t="shared" si="0"/>
        <v>1.2705281040816623E-2</v>
      </c>
      <c r="K16" s="1">
        <v>13</v>
      </c>
      <c r="L16" s="25" t="s">
        <v>205</v>
      </c>
      <c r="M16" s="26">
        <v>681</v>
      </c>
      <c r="N16" s="27">
        <f t="shared" si="1"/>
        <v>2.4720846825131773E-3</v>
      </c>
    </row>
    <row r="17" spans="6:14">
      <c r="F17" s="1">
        <v>14</v>
      </c>
      <c r="G17" s="28" t="s">
        <v>173</v>
      </c>
      <c r="H17" s="29">
        <v>3375</v>
      </c>
      <c r="I17" s="30">
        <f t="shared" si="0"/>
        <v>1.22515210036446E-2</v>
      </c>
      <c r="K17" s="1">
        <v>14</v>
      </c>
      <c r="L17" s="28" t="s">
        <v>206</v>
      </c>
      <c r="M17" s="29">
        <v>646</v>
      </c>
      <c r="N17" s="30">
        <f t="shared" si="1"/>
        <v>2.3450318721050111E-3</v>
      </c>
    </row>
    <row r="18" spans="6:14">
      <c r="F18" s="1">
        <v>15</v>
      </c>
      <c r="G18" s="25" t="s">
        <v>183</v>
      </c>
      <c r="H18" s="26">
        <v>3311</v>
      </c>
      <c r="I18" s="27">
        <f t="shared" si="0"/>
        <v>1.2019195864612526E-2</v>
      </c>
      <c r="K18" s="1">
        <v>15</v>
      </c>
      <c r="L18" s="25" t="s">
        <v>207</v>
      </c>
      <c r="M18" s="26">
        <v>512</v>
      </c>
      <c r="N18" s="27">
        <f t="shared" si="1"/>
        <v>1.8586011122566032E-3</v>
      </c>
    </row>
    <row r="19" spans="6:14">
      <c r="F19" s="1">
        <v>16</v>
      </c>
      <c r="G19" s="28" t="s">
        <v>184</v>
      </c>
      <c r="H19" s="29">
        <v>3035</v>
      </c>
      <c r="I19" s="30">
        <f t="shared" si="0"/>
        <v>1.10172937025367E-2</v>
      </c>
      <c r="K19" s="1">
        <v>16</v>
      </c>
      <c r="L19" s="28" t="s">
        <v>208</v>
      </c>
      <c r="M19" s="29">
        <v>245</v>
      </c>
      <c r="N19" s="30">
        <f t="shared" si="1"/>
        <v>8.8936967285716364E-4</v>
      </c>
    </row>
    <row r="20" spans="6:14">
      <c r="F20" s="1">
        <v>17</v>
      </c>
      <c r="G20" s="25" t="s">
        <v>185</v>
      </c>
      <c r="H20" s="26">
        <v>3016</v>
      </c>
      <c r="I20" s="27">
        <f t="shared" si="0"/>
        <v>1.0948322176886552E-2</v>
      </c>
      <c r="K20" s="1">
        <v>17</v>
      </c>
      <c r="L20" s="25" t="s">
        <v>209</v>
      </c>
      <c r="M20" s="26">
        <v>97</v>
      </c>
      <c r="N20" s="27">
        <f t="shared" si="1"/>
        <v>3.5211778884548925E-4</v>
      </c>
    </row>
    <row r="21" spans="6:14">
      <c r="F21" s="1">
        <v>18</v>
      </c>
      <c r="G21" s="28" t="s">
        <v>186</v>
      </c>
      <c r="H21" s="29">
        <v>2703</v>
      </c>
      <c r="I21" s="30">
        <f t="shared" si="0"/>
        <v>9.8121070438078085E-3</v>
      </c>
      <c r="K21" s="1">
        <v>18</v>
      </c>
      <c r="L21" s="28" t="s">
        <v>210</v>
      </c>
      <c r="M21" s="29">
        <v>75</v>
      </c>
      <c r="N21" s="30">
        <f t="shared" si="1"/>
        <v>2.7225602230321333E-4</v>
      </c>
    </row>
    <row r="22" spans="6:14">
      <c r="F22" s="1">
        <v>19</v>
      </c>
      <c r="G22" s="25" t="s">
        <v>187</v>
      </c>
      <c r="H22" s="26">
        <v>2625</v>
      </c>
      <c r="I22" s="27">
        <f t="shared" si="0"/>
        <v>9.5289607806124665E-3</v>
      </c>
      <c r="K22" s="1">
        <v>19</v>
      </c>
      <c r="L22" s="25" t="s">
        <v>211</v>
      </c>
      <c r="M22" s="26">
        <v>3</v>
      </c>
      <c r="N22" s="27">
        <f>M22/$H$27</f>
        <v>1.0890240892128533E-5</v>
      </c>
    </row>
    <row r="23" spans="6:14">
      <c r="F23" s="1">
        <v>20</v>
      </c>
      <c r="G23" s="28" t="s">
        <v>188</v>
      </c>
      <c r="H23" s="29">
        <v>2612</v>
      </c>
      <c r="I23" s="30">
        <f t="shared" si="0"/>
        <v>9.4817697367465762E-3</v>
      </c>
    </row>
    <row r="24" spans="6:14">
      <c r="L24" s="2" t="s">
        <v>212</v>
      </c>
      <c r="M24" s="31">
        <f>SUM(M4:M8)</f>
        <v>229669</v>
      </c>
      <c r="N24" s="32">
        <f>SUM(N4:N8)</f>
        <v>0.83371691181808949</v>
      </c>
    </row>
    <row r="25" spans="6:14">
      <c r="G25" s="2" t="s">
        <v>175</v>
      </c>
      <c r="H25" s="31">
        <f>SUM(H4:H8)</f>
        <v>138668</v>
      </c>
      <c r="I25" s="32">
        <f>SUM(I4:I8)</f>
        <v>0.50337597467655981</v>
      </c>
      <c r="L25" s="12" t="s">
        <v>190</v>
      </c>
      <c r="M25" s="35">
        <f>205553+69923</f>
        <v>275476</v>
      </c>
    </row>
    <row r="26" spans="6:14">
      <c r="G26" s="4" t="s">
        <v>176</v>
      </c>
      <c r="H26" s="33">
        <f>SUM(H4:H23)</f>
        <v>200796</v>
      </c>
      <c r="I26" s="34">
        <f>SUM(I4:I23)</f>
        <v>0.72890560339194688</v>
      </c>
    </row>
    <row r="27" spans="6:14">
      <c r="G27" s="12" t="s">
        <v>190</v>
      </c>
      <c r="H27" s="35">
        <f>205553+69923</f>
        <v>275476</v>
      </c>
    </row>
    <row r="28" spans="6:14">
      <c r="H28" s="36"/>
    </row>
    <row r="31" spans="6:14">
      <c r="G31" s="23" t="s">
        <v>223</v>
      </c>
      <c r="H31" s="24" t="s">
        <v>241</v>
      </c>
      <c r="I31" s="24" t="s">
        <v>191</v>
      </c>
    </row>
    <row r="32" spans="6:14">
      <c r="F32" s="1">
        <v>1</v>
      </c>
      <c r="G32" s="25" t="s">
        <v>166</v>
      </c>
      <c r="H32" s="26">
        <v>48089</v>
      </c>
      <c r="I32" s="27">
        <f>H32/$H$27</f>
        <v>0.17456693142052301</v>
      </c>
    </row>
    <row r="33" spans="6:9">
      <c r="F33" s="1">
        <v>2</v>
      </c>
      <c r="G33" s="28" t="s">
        <v>224</v>
      </c>
      <c r="H33" s="29">
        <v>39199</v>
      </c>
      <c r="I33" s="30">
        <f t="shared" ref="I33:I51" si="2">H33/$H$27</f>
        <v>0.1422955175768488</v>
      </c>
    </row>
    <row r="34" spans="6:9">
      <c r="F34" s="1">
        <v>3</v>
      </c>
      <c r="G34" s="25" t="s">
        <v>225</v>
      </c>
      <c r="H34" s="26">
        <v>12647</v>
      </c>
      <c r="I34" s="27">
        <f t="shared" si="2"/>
        <v>4.5909625520916521E-2</v>
      </c>
    </row>
    <row r="35" spans="6:9">
      <c r="F35" s="1">
        <v>4</v>
      </c>
      <c r="G35" s="28" t="s">
        <v>177</v>
      </c>
      <c r="H35" s="29">
        <v>9725</v>
      </c>
      <c r="I35" s="30">
        <f t="shared" si="2"/>
        <v>3.5302530891983333E-2</v>
      </c>
    </row>
    <row r="36" spans="6:9">
      <c r="F36" s="1">
        <v>5</v>
      </c>
      <c r="G36" s="25" t="s">
        <v>226</v>
      </c>
      <c r="H36" s="26">
        <v>9668</v>
      </c>
      <c r="I36" s="27">
        <f t="shared" si="2"/>
        <v>3.5095616315032892E-2</v>
      </c>
    </row>
    <row r="37" spans="6:9">
      <c r="F37" s="1">
        <v>6</v>
      </c>
      <c r="G37" s="28" t="s">
        <v>227</v>
      </c>
      <c r="H37" s="29">
        <v>4786</v>
      </c>
      <c r="I37" s="30">
        <f t="shared" si="2"/>
        <v>1.7373564303242387E-2</v>
      </c>
    </row>
    <row r="38" spans="6:9">
      <c r="F38" s="1">
        <v>7</v>
      </c>
      <c r="G38" s="25" t="s">
        <v>228</v>
      </c>
      <c r="H38" s="26">
        <v>3849</v>
      </c>
      <c r="I38" s="27">
        <f t="shared" si="2"/>
        <v>1.3972179064600909E-2</v>
      </c>
    </row>
    <row r="39" spans="6:9">
      <c r="F39" s="1">
        <v>8</v>
      </c>
      <c r="G39" s="28" t="s">
        <v>229</v>
      </c>
      <c r="H39" s="29">
        <v>3016</v>
      </c>
      <c r="I39" s="30">
        <f t="shared" si="2"/>
        <v>1.0948322176886552E-2</v>
      </c>
    </row>
    <row r="40" spans="6:9">
      <c r="F40" s="1">
        <v>9</v>
      </c>
      <c r="G40" s="25" t="s">
        <v>230</v>
      </c>
      <c r="H40" s="26">
        <v>3000</v>
      </c>
      <c r="I40" s="27">
        <f t="shared" si="2"/>
        <v>1.0890240892128533E-2</v>
      </c>
    </row>
    <row r="41" spans="6:9">
      <c r="F41" s="1">
        <v>10</v>
      </c>
      <c r="G41" s="28" t="s">
        <v>231</v>
      </c>
      <c r="H41" s="29">
        <v>2571</v>
      </c>
      <c r="I41" s="30">
        <f t="shared" si="2"/>
        <v>9.3329364445541539E-3</v>
      </c>
    </row>
    <row r="42" spans="6:9">
      <c r="F42" s="1">
        <v>11</v>
      </c>
      <c r="G42" s="25" t="s">
        <v>232</v>
      </c>
      <c r="H42" s="26">
        <v>2283</v>
      </c>
      <c r="I42" s="27">
        <f t="shared" si="2"/>
        <v>8.2874733189098135E-3</v>
      </c>
    </row>
    <row r="43" spans="6:9">
      <c r="F43" s="1">
        <v>12</v>
      </c>
      <c r="G43" s="28" t="s">
        <v>233</v>
      </c>
      <c r="H43" s="29">
        <v>2206</v>
      </c>
      <c r="I43" s="30">
        <f t="shared" si="2"/>
        <v>8.0079571360118489E-3</v>
      </c>
    </row>
    <row r="44" spans="6:9">
      <c r="F44" s="1">
        <v>13</v>
      </c>
      <c r="G44" s="25" t="s">
        <v>234</v>
      </c>
      <c r="H44" s="26">
        <v>2183</v>
      </c>
      <c r="I44" s="27">
        <f t="shared" si="2"/>
        <v>7.9244652891721969E-3</v>
      </c>
    </row>
    <row r="45" spans="6:9">
      <c r="F45" s="1">
        <v>14</v>
      </c>
      <c r="G45" s="28" t="s">
        <v>235</v>
      </c>
      <c r="H45" s="29">
        <v>2022</v>
      </c>
      <c r="I45" s="30">
        <f t="shared" si="2"/>
        <v>7.3400223612946321E-3</v>
      </c>
    </row>
    <row r="46" spans="6:9">
      <c r="F46" s="1">
        <v>15</v>
      </c>
      <c r="G46" s="25" t="s">
        <v>236</v>
      </c>
      <c r="H46" s="26">
        <v>1898</v>
      </c>
      <c r="I46" s="27">
        <f t="shared" si="2"/>
        <v>6.8898924044199861E-3</v>
      </c>
    </row>
    <row r="47" spans="6:9">
      <c r="F47" s="1">
        <v>16</v>
      </c>
      <c r="G47" s="28" t="s">
        <v>237</v>
      </c>
      <c r="H47" s="29">
        <v>1629</v>
      </c>
      <c r="I47" s="30">
        <f t="shared" si="2"/>
        <v>5.9134008044257943E-3</v>
      </c>
    </row>
    <row r="48" spans="6:9">
      <c r="F48" s="1">
        <v>17</v>
      </c>
      <c r="G48" s="25" t="s">
        <v>179</v>
      </c>
      <c r="H48" s="26">
        <v>1300</v>
      </c>
      <c r="I48" s="27">
        <f t="shared" si="2"/>
        <v>4.7191043865890316E-3</v>
      </c>
    </row>
    <row r="49" spans="6:9">
      <c r="F49" s="1">
        <v>18</v>
      </c>
      <c r="G49" s="28" t="s">
        <v>238</v>
      </c>
      <c r="H49" s="29">
        <v>1138</v>
      </c>
      <c r="I49" s="30">
        <f t="shared" si="2"/>
        <v>4.1310313784140903E-3</v>
      </c>
    </row>
    <row r="50" spans="6:9">
      <c r="F50" s="1">
        <v>19</v>
      </c>
      <c r="G50" s="25" t="s">
        <v>239</v>
      </c>
      <c r="H50" s="26">
        <v>1131</v>
      </c>
      <c r="I50" s="27">
        <f t="shared" si="2"/>
        <v>4.1056208163324573E-3</v>
      </c>
    </row>
    <row r="51" spans="6:9">
      <c r="F51" s="1">
        <v>20</v>
      </c>
      <c r="G51" s="28" t="s">
        <v>240</v>
      </c>
      <c r="H51" s="29">
        <v>1126</v>
      </c>
      <c r="I51" s="30">
        <f t="shared" si="2"/>
        <v>4.0874704148455765E-3</v>
      </c>
    </row>
    <row r="53" spans="6:9">
      <c r="G53" s="2" t="s">
        <v>175</v>
      </c>
      <c r="H53" s="31">
        <f>SUM(H32:H36)</f>
        <v>119328</v>
      </c>
      <c r="I53" s="32">
        <f>SUM(I32:I36)</f>
        <v>0.43317022172530456</v>
      </c>
    </row>
    <row r="54" spans="6:9">
      <c r="G54" s="4" t="s">
        <v>176</v>
      </c>
      <c r="H54" s="33">
        <f>SUM(H32:H51)</f>
        <v>153466</v>
      </c>
      <c r="I54" s="34">
        <f>SUM(I32:I51)</f>
        <v>0.55709390291713257</v>
      </c>
    </row>
    <row r="55" spans="6:9">
      <c r="G55" s="12" t="s">
        <v>243</v>
      </c>
      <c r="H55" s="35" t="e">
        <f>#REF!</f>
        <v>#REF!</v>
      </c>
    </row>
  </sheetData>
  <pageMargins left="0.7" right="0.7" top="0.75" bottom="0.75" header="0.3" footer="0.3"/>
  <ignoredErrors>
    <ignoredError sqref="H2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6D3F7-3138-B84B-8C6F-268DD6B9E507}">
  <dimension ref="F3:N55"/>
  <sheetViews>
    <sheetView showGridLines="0" topLeftCell="E1" zoomScale="110" zoomScaleNormal="110" workbookViewId="0">
      <selection activeCell="L60" sqref="L60"/>
    </sheetView>
  </sheetViews>
  <sheetFormatPr baseColWidth="10" defaultColWidth="10.6640625" defaultRowHeight="15"/>
  <cols>
    <col min="1" max="6" width="10.6640625" style="1"/>
    <col min="7" max="7" width="82.1640625" style="1" bestFit="1" customWidth="1"/>
    <col min="8" max="8" width="20" style="1" customWidth="1"/>
    <col min="9" max="9" width="16" style="1" bestFit="1" customWidth="1"/>
    <col min="10" max="10" width="6.1640625" customWidth="1"/>
    <col min="11" max="11" width="10.6640625" style="1"/>
    <col min="12" max="12" width="86.1640625" style="1" bestFit="1" customWidth="1"/>
    <col min="13" max="13" width="20" style="1" customWidth="1"/>
    <col min="14" max="14" width="16" style="1" bestFit="1" customWidth="1"/>
    <col min="15" max="15" width="6.1640625" style="1" customWidth="1"/>
    <col min="16" max="16384" width="10.6640625" style="1"/>
  </cols>
  <sheetData>
    <row r="3" spans="6:14">
      <c r="G3" s="23" t="s">
        <v>174</v>
      </c>
      <c r="H3" s="24" t="s">
        <v>189</v>
      </c>
      <c r="I3" s="24" t="s">
        <v>191</v>
      </c>
      <c r="L3" s="23" t="s">
        <v>192</v>
      </c>
      <c r="M3" s="24" t="s">
        <v>189</v>
      </c>
      <c r="N3" s="24" t="s">
        <v>191</v>
      </c>
    </row>
    <row r="4" spans="6:14">
      <c r="F4" s="1">
        <v>1</v>
      </c>
      <c r="G4" s="25" t="s">
        <v>166</v>
      </c>
      <c r="H4" s="26">
        <v>115790</v>
      </c>
      <c r="I4" s="27" t="e">
        <f>H4/$H$27</f>
        <v>#REF!</v>
      </c>
      <c r="K4" s="1">
        <v>1</v>
      </c>
      <c r="L4" s="25" t="s">
        <v>193</v>
      </c>
      <c r="M4" s="26">
        <v>137385</v>
      </c>
      <c r="N4" s="209" t="e">
        <f>M4/$H$27</f>
        <v>#REF!</v>
      </c>
    </row>
    <row r="5" spans="6:14">
      <c r="F5" s="1">
        <v>2</v>
      </c>
      <c r="G5" s="28" t="s">
        <v>263</v>
      </c>
      <c r="H5" s="29">
        <v>13000</v>
      </c>
      <c r="I5" s="30" t="e">
        <f t="shared" ref="I5:I23" si="0">H5/$H$27</f>
        <v>#REF!</v>
      </c>
      <c r="K5" s="1">
        <v>2</v>
      </c>
      <c r="L5" s="28" t="s">
        <v>196</v>
      </c>
      <c r="M5" s="29">
        <v>60023</v>
      </c>
      <c r="N5" s="210" t="e">
        <f t="shared" ref="N5:N21" si="1">M5/$H$27</f>
        <v>#REF!</v>
      </c>
    </row>
    <row r="6" spans="6:14">
      <c r="F6" s="1">
        <v>3</v>
      </c>
      <c r="G6" s="25" t="s">
        <v>178</v>
      </c>
      <c r="H6" s="26">
        <v>10441</v>
      </c>
      <c r="I6" s="27" t="e">
        <f t="shared" si="0"/>
        <v>#REF!</v>
      </c>
      <c r="K6" s="1">
        <v>3</v>
      </c>
      <c r="L6" s="25" t="s">
        <v>195</v>
      </c>
      <c r="M6" s="26">
        <v>57651</v>
      </c>
      <c r="N6" s="209" t="e">
        <f t="shared" si="1"/>
        <v>#REF!</v>
      </c>
    </row>
    <row r="7" spans="6:14">
      <c r="F7" s="1">
        <v>4</v>
      </c>
      <c r="G7" s="28" t="s">
        <v>224</v>
      </c>
      <c r="H7" s="29">
        <v>8000</v>
      </c>
      <c r="I7" s="30" t="e">
        <f t="shared" si="0"/>
        <v>#REF!</v>
      </c>
      <c r="K7" s="1">
        <v>4</v>
      </c>
      <c r="L7" s="28" t="s">
        <v>197</v>
      </c>
      <c r="M7" s="29">
        <v>28148</v>
      </c>
      <c r="N7" s="30" t="e">
        <f t="shared" si="1"/>
        <v>#REF!</v>
      </c>
    </row>
    <row r="8" spans="6:14">
      <c r="F8" s="1">
        <v>5</v>
      </c>
      <c r="G8" s="25" t="s">
        <v>179</v>
      </c>
      <c r="H8" s="26">
        <v>7478</v>
      </c>
      <c r="I8" s="27" t="e">
        <f t="shared" si="0"/>
        <v>#REF!</v>
      </c>
      <c r="K8" s="1">
        <v>5</v>
      </c>
      <c r="L8" s="25" t="s">
        <v>200</v>
      </c>
      <c r="M8" s="26">
        <v>17171</v>
      </c>
      <c r="N8" s="27" t="e">
        <f t="shared" si="1"/>
        <v>#REF!</v>
      </c>
    </row>
    <row r="9" spans="6:14">
      <c r="F9" s="1">
        <v>6</v>
      </c>
      <c r="G9" s="28" t="s">
        <v>169</v>
      </c>
      <c r="H9" s="29">
        <v>6564</v>
      </c>
      <c r="I9" s="30" t="e">
        <f t="shared" si="0"/>
        <v>#REF!</v>
      </c>
      <c r="K9" s="1">
        <v>6</v>
      </c>
      <c r="L9" s="28" t="s">
        <v>198</v>
      </c>
      <c r="M9" s="29">
        <v>15264</v>
      </c>
      <c r="N9" s="30" t="e">
        <f t="shared" si="1"/>
        <v>#REF!</v>
      </c>
    </row>
    <row r="10" spans="6:14">
      <c r="F10" s="1">
        <v>7</v>
      </c>
      <c r="G10" s="25" t="s">
        <v>168</v>
      </c>
      <c r="H10" s="26">
        <v>5923</v>
      </c>
      <c r="I10" s="27" t="e">
        <f t="shared" si="0"/>
        <v>#REF!</v>
      </c>
      <c r="K10" s="1">
        <v>7</v>
      </c>
      <c r="L10" s="25" t="s">
        <v>194</v>
      </c>
      <c r="M10" s="26">
        <v>14610</v>
      </c>
      <c r="N10" s="27" t="e">
        <f t="shared" si="1"/>
        <v>#REF!</v>
      </c>
    </row>
    <row r="11" spans="6:14">
      <c r="F11" s="1">
        <v>8</v>
      </c>
      <c r="G11" s="28" t="s">
        <v>180</v>
      </c>
      <c r="H11" s="29">
        <v>5032</v>
      </c>
      <c r="I11" s="30" t="e">
        <f t="shared" si="0"/>
        <v>#REF!</v>
      </c>
      <c r="K11" s="1">
        <v>8</v>
      </c>
      <c r="L11" s="28" t="s">
        <v>199</v>
      </c>
      <c r="M11" s="29">
        <v>7672</v>
      </c>
      <c r="N11" s="30" t="e">
        <f t="shared" si="1"/>
        <v>#REF!</v>
      </c>
    </row>
    <row r="12" spans="6:14">
      <c r="F12" s="1">
        <v>9</v>
      </c>
      <c r="G12" s="25" t="s">
        <v>181</v>
      </c>
      <c r="H12" s="26">
        <v>4662</v>
      </c>
      <c r="I12" s="27" t="e">
        <f t="shared" si="0"/>
        <v>#REF!</v>
      </c>
      <c r="K12" s="1">
        <v>9</v>
      </c>
      <c r="L12" s="25" t="s">
        <v>201</v>
      </c>
      <c r="M12" s="26">
        <v>6044</v>
      </c>
      <c r="N12" s="27" t="e">
        <f t="shared" si="1"/>
        <v>#REF!</v>
      </c>
    </row>
    <row r="13" spans="6:14">
      <c r="F13" s="1">
        <v>10</v>
      </c>
      <c r="G13" s="28" t="s">
        <v>171</v>
      </c>
      <c r="H13" s="29">
        <v>4333</v>
      </c>
      <c r="I13" s="30" t="e">
        <f t="shared" si="0"/>
        <v>#REF!</v>
      </c>
      <c r="K13" s="1">
        <v>10</v>
      </c>
      <c r="L13" s="28" t="s">
        <v>202</v>
      </c>
      <c r="M13" s="29">
        <v>2298</v>
      </c>
      <c r="N13" s="30" t="e">
        <f t="shared" si="1"/>
        <v>#REF!</v>
      </c>
    </row>
    <row r="14" spans="6:14">
      <c r="F14" s="1">
        <v>11</v>
      </c>
      <c r="G14" s="25" t="s">
        <v>170</v>
      </c>
      <c r="H14" s="26">
        <v>4042</v>
      </c>
      <c r="I14" s="27" t="e">
        <f t="shared" si="0"/>
        <v>#REF!</v>
      </c>
      <c r="K14" s="1">
        <v>11</v>
      </c>
      <c r="L14" s="25" t="s">
        <v>205</v>
      </c>
      <c r="M14" s="26">
        <v>1667</v>
      </c>
      <c r="N14" s="27" t="e">
        <f t="shared" si="1"/>
        <v>#REF!</v>
      </c>
    </row>
    <row r="15" spans="6:14">
      <c r="F15" s="1">
        <v>12</v>
      </c>
      <c r="G15" s="28" t="s">
        <v>172</v>
      </c>
      <c r="H15" s="29">
        <v>3989</v>
      </c>
      <c r="I15" s="30" t="e">
        <f t="shared" si="0"/>
        <v>#REF!</v>
      </c>
      <c r="K15" s="1">
        <v>12</v>
      </c>
      <c r="L15" s="28" t="s">
        <v>207</v>
      </c>
      <c r="M15" s="29">
        <v>1664</v>
      </c>
      <c r="N15" s="30" t="e">
        <f t="shared" si="1"/>
        <v>#REF!</v>
      </c>
    </row>
    <row r="16" spans="6:14">
      <c r="F16" s="1">
        <v>13</v>
      </c>
      <c r="G16" s="25" t="s">
        <v>182</v>
      </c>
      <c r="H16" s="26">
        <v>3703</v>
      </c>
      <c r="I16" s="27" t="e">
        <f t="shared" si="0"/>
        <v>#REF!</v>
      </c>
      <c r="K16" s="1">
        <v>13</v>
      </c>
      <c r="L16" s="25" t="s">
        <v>206</v>
      </c>
      <c r="M16" s="26">
        <v>1594</v>
      </c>
      <c r="N16" s="27" t="e">
        <f t="shared" si="1"/>
        <v>#REF!</v>
      </c>
    </row>
    <row r="17" spans="6:14">
      <c r="F17" s="1">
        <v>14</v>
      </c>
      <c r="G17" s="28" t="s">
        <v>173</v>
      </c>
      <c r="H17" s="29">
        <v>3500</v>
      </c>
      <c r="I17" s="30" t="e">
        <f t="shared" si="0"/>
        <v>#REF!</v>
      </c>
      <c r="K17" s="1">
        <v>14</v>
      </c>
      <c r="L17" s="28" t="s">
        <v>203</v>
      </c>
      <c r="M17" s="29">
        <v>963</v>
      </c>
      <c r="N17" s="30" t="e">
        <f t="shared" si="1"/>
        <v>#REF!</v>
      </c>
    </row>
    <row r="18" spans="6:14">
      <c r="F18" s="1">
        <v>15</v>
      </c>
      <c r="G18" s="25" t="s">
        <v>183</v>
      </c>
      <c r="H18" s="26">
        <v>3368</v>
      </c>
      <c r="I18" s="27" t="e">
        <f t="shared" si="0"/>
        <v>#REF!</v>
      </c>
      <c r="K18" s="1">
        <v>15</v>
      </c>
      <c r="L18" s="25" t="s">
        <v>265</v>
      </c>
      <c r="M18" s="26">
        <v>784</v>
      </c>
      <c r="N18" s="27" t="e">
        <f t="shared" si="1"/>
        <v>#REF!</v>
      </c>
    </row>
    <row r="19" spans="6:14">
      <c r="F19" s="1">
        <v>16</v>
      </c>
      <c r="G19" s="28" t="s">
        <v>184</v>
      </c>
      <c r="H19" s="29">
        <v>2915</v>
      </c>
      <c r="I19" s="30" t="e">
        <f t="shared" si="0"/>
        <v>#REF!</v>
      </c>
      <c r="K19" s="1">
        <v>16</v>
      </c>
      <c r="L19" s="28" t="s">
        <v>208</v>
      </c>
      <c r="M19" s="29">
        <v>421</v>
      </c>
      <c r="N19" s="30" t="e">
        <f t="shared" si="1"/>
        <v>#REF!</v>
      </c>
    </row>
    <row r="20" spans="6:14">
      <c r="F20" s="1">
        <v>17</v>
      </c>
      <c r="G20" s="25" t="s">
        <v>185</v>
      </c>
      <c r="H20" s="26">
        <v>2899</v>
      </c>
      <c r="I20" s="27" t="e">
        <f t="shared" si="0"/>
        <v>#REF!</v>
      </c>
      <c r="K20" s="1">
        <v>17</v>
      </c>
      <c r="L20" s="25" t="s">
        <v>210</v>
      </c>
      <c r="M20" s="26">
        <v>137</v>
      </c>
      <c r="N20" s="27" t="e">
        <f t="shared" si="1"/>
        <v>#REF!</v>
      </c>
    </row>
    <row r="21" spans="6:14">
      <c r="F21" s="1">
        <v>18</v>
      </c>
      <c r="G21" s="28" t="s">
        <v>186</v>
      </c>
      <c r="H21" s="29">
        <v>2732</v>
      </c>
      <c r="I21" s="30" t="e">
        <f t="shared" si="0"/>
        <v>#REF!</v>
      </c>
      <c r="K21" s="1">
        <v>18</v>
      </c>
      <c r="L21" s="28" t="s">
        <v>211</v>
      </c>
      <c r="M21" s="29">
        <v>40</v>
      </c>
      <c r="N21" s="30" t="e">
        <f t="shared" si="1"/>
        <v>#REF!</v>
      </c>
    </row>
    <row r="22" spans="6:14">
      <c r="F22" s="1">
        <v>19</v>
      </c>
      <c r="G22" s="25" t="s">
        <v>187</v>
      </c>
      <c r="H22" s="26">
        <v>2670</v>
      </c>
      <c r="I22" s="27" t="e">
        <f t="shared" si="0"/>
        <v>#REF!</v>
      </c>
      <c r="K22" s="1">
        <v>19</v>
      </c>
      <c r="L22" s="25" t="s">
        <v>209</v>
      </c>
      <c r="M22" s="26">
        <v>32</v>
      </c>
      <c r="N22" s="27" t="e">
        <f>M22/$H$27</f>
        <v>#REF!</v>
      </c>
    </row>
    <row r="23" spans="6:14">
      <c r="F23" s="1">
        <v>20</v>
      </c>
      <c r="G23" s="28" t="s">
        <v>188</v>
      </c>
      <c r="H23" s="29">
        <v>2580</v>
      </c>
      <c r="I23" s="30" t="e">
        <f t="shared" si="0"/>
        <v>#REF!</v>
      </c>
    </row>
    <row r="24" spans="6:14">
      <c r="L24" s="2" t="s">
        <v>212</v>
      </c>
      <c r="M24" s="31">
        <f>SUM(M4:M8)</f>
        <v>300378</v>
      </c>
      <c r="N24" s="211" t="e">
        <f>SUM(N4:N8)</f>
        <v>#REF!</v>
      </c>
    </row>
    <row r="25" spans="6:14">
      <c r="G25" s="2" t="s">
        <v>175</v>
      </c>
      <c r="H25" s="31">
        <f>SUM(H4:H8)</f>
        <v>154709</v>
      </c>
      <c r="I25" s="32" t="e">
        <f>SUM(I4:I8)</f>
        <v>#REF!</v>
      </c>
      <c r="L25" s="12" t="s">
        <v>190</v>
      </c>
      <c r="M25" s="35" t="e">
        <f>+H27</f>
        <v>#REF!</v>
      </c>
    </row>
    <row r="26" spans="6:14">
      <c r="G26" s="4" t="s">
        <v>176</v>
      </c>
      <c r="H26" s="33">
        <f>SUM(H4:H23)</f>
        <v>213621</v>
      </c>
      <c r="I26" s="34" t="e">
        <f>SUM(I4:I23)</f>
        <v>#REF!</v>
      </c>
    </row>
    <row r="27" spans="6:14">
      <c r="G27" s="12" t="s">
        <v>190</v>
      </c>
      <c r="H27" s="35" t="e">
        <f>#REF!+62986</f>
        <v>#REF!</v>
      </c>
    </row>
    <row r="28" spans="6:14">
      <c r="H28" s="36"/>
    </row>
    <row r="29" spans="6:14">
      <c r="L29" s="25" t="s">
        <v>193</v>
      </c>
    </row>
    <row r="30" spans="6:14">
      <c r="L30" s="28" t="s">
        <v>194</v>
      </c>
    </row>
    <row r="31" spans="6:14">
      <c r="G31" s="23" t="s">
        <v>223</v>
      </c>
      <c r="H31" s="24" t="s">
        <v>241</v>
      </c>
      <c r="I31" s="24" t="s">
        <v>191</v>
      </c>
      <c r="L31" s="25" t="s">
        <v>195</v>
      </c>
    </row>
    <row r="32" spans="6:14">
      <c r="F32" s="1">
        <v>1</v>
      </c>
      <c r="G32" s="25" t="s">
        <v>166</v>
      </c>
      <c r="H32" s="26">
        <v>120795</v>
      </c>
      <c r="I32" s="27" t="e">
        <f>H32/$H$55</f>
        <v>#REF!</v>
      </c>
      <c r="L32" s="28" t="s">
        <v>196</v>
      </c>
    </row>
    <row r="33" spans="6:12">
      <c r="F33" s="1">
        <v>2</v>
      </c>
      <c r="G33" s="28" t="s">
        <v>224</v>
      </c>
      <c r="H33" s="29">
        <v>39564</v>
      </c>
      <c r="I33" s="27" t="e">
        <f t="shared" ref="I33:I51" si="2">H33/$H$55</f>
        <v>#REF!</v>
      </c>
      <c r="L33" s="25" t="s">
        <v>197</v>
      </c>
    </row>
    <row r="34" spans="6:12">
      <c r="F34" s="1">
        <v>3</v>
      </c>
      <c r="G34" s="25" t="s">
        <v>225</v>
      </c>
      <c r="H34" s="26">
        <v>5995</v>
      </c>
      <c r="I34" s="27" t="e">
        <f t="shared" si="2"/>
        <v>#REF!</v>
      </c>
      <c r="L34" s="28" t="s">
        <v>198</v>
      </c>
    </row>
    <row r="35" spans="6:12">
      <c r="F35" s="1">
        <v>4</v>
      </c>
      <c r="G35" s="28" t="s">
        <v>177</v>
      </c>
      <c r="H35" s="29">
        <v>5000</v>
      </c>
      <c r="I35" s="27" t="e">
        <f t="shared" si="2"/>
        <v>#REF!</v>
      </c>
      <c r="L35" s="25" t="s">
        <v>199</v>
      </c>
    </row>
    <row r="36" spans="6:12">
      <c r="F36" s="1">
        <v>5</v>
      </c>
      <c r="G36" s="25" t="s">
        <v>226</v>
      </c>
      <c r="H36" s="26">
        <v>3832</v>
      </c>
      <c r="I36" s="27" t="e">
        <f t="shared" si="2"/>
        <v>#REF!</v>
      </c>
      <c r="L36" s="28" t="s">
        <v>200</v>
      </c>
    </row>
    <row r="37" spans="6:12">
      <c r="F37" s="1">
        <v>6</v>
      </c>
      <c r="G37" s="28" t="s">
        <v>227</v>
      </c>
      <c r="H37" s="29">
        <v>3310</v>
      </c>
      <c r="I37" s="27" t="e">
        <f t="shared" si="2"/>
        <v>#REF!</v>
      </c>
      <c r="L37" s="25" t="s">
        <v>201</v>
      </c>
    </row>
    <row r="38" spans="6:12">
      <c r="F38" s="1">
        <v>7</v>
      </c>
      <c r="G38" s="25" t="s">
        <v>228</v>
      </c>
      <c r="H38" s="26">
        <v>2893</v>
      </c>
      <c r="I38" s="27" t="e">
        <f t="shared" si="2"/>
        <v>#REF!</v>
      </c>
      <c r="L38" s="28" t="s">
        <v>202</v>
      </c>
    </row>
    <row r="39" spans="6:12">
      <c r="F39" s="1">
        <v>8</v>
      </c>
      <c r="G39" s="28" t="s">
        <v>229</v>
      </c>
      <c r="H39" s="29">
        <v>2650</v>
      </c>
      <c r="I39" s="27" t="e">
        <f t="shared" si="2"/>
        <v>#REF!</v>
      </c>
      <c r="L39" s="25" t="s">
        <v>203</v>
      </c>
    </row>
    <row r="40" spans="6:12">
      <c r="F40" s="1">
        <v>9</v>
      </c>
      <c r="G40" s="25" t="s">
        <v>230</v>
      </c>
      <c r="H40" s="26">
        <v>2571</v>
      </c>
      <c r="I40" s="27" t="e">
        <f t="shared" si="2"/>
        <v>#REF!</v>
      </c>
      <c r="L40" s="28" t="s">
        <v>204</v>
      </c>
    </row>
    <row r="41" spans="6:12">
      <c r="F41" s="1">
        <v>10</v>
      </c>
      <c r="G41" s="28" t="s">
        <v>231</v>
      </c>
      <c r="H41" s="29">
        <v>2126</v>
      </c>
      <c r="I41" s="27" t="e">
        <f t="shared" si="2"/>
        <v>#REF!</v>
      </c>
      <c r="L41" s="25" t="s">
        <v>205</v>
      </c>
    </row>
    <row r="42" spans="6:12">
      <c r="F42" s="1">
        <v>11</v>
      </c>
      <c r="G42" s="25" t="s">
        <v>232</v>
      </c>
      <c r="H42" s="26">
        <v>2109</v>
      </c>
      <c r="I42" s="27" t="e">
        <f t="shared" si="2"/>
        <v>#REF!</v>
      </c>
      <c r="L42" s="28" t="s">
        <v>206</v>
      </c>
    </row>
    <row r="43" spans="6:12">
      <c r="F43" s="1">
        <v>12</v>
      </c>
      <c r="G43" s="28" t="s">
        <v>233</v>
      </c>
      <c r="H43" s="29">
        <v>2003</v>
      </c>
      <c r="I43" s="27" t="e">
        <f t="shared" si="2"/>
        <v>#REF!</v>
      </c>
      <c r="L43" s="25" t="s">
        <v>207</v>
      </c>
    </row>
    <row r="44" spans="6:12">
      <c r="F44" s="1">
        <v>13</v>
      </c>
      <c r="G44" s="25" t="s">
        <v>234</v>
      </c>
      <c r="H44" s="26">
        <v>2202</v>
      </c>
      <c r="I44" s="27" t="e">
        <f t="shared" si="2"/>
        <v>#REF!</v>
      </c>
      <c r="L44" s="28" t="s">
        <v>208</v>
      </c>
    </row>
    <row r="45" spans="6:12">
      <c r="F45" s="1">
        <v>14</v>
      </c>
      <c r="G45" s="28" t="s">
        <v>235</v>
      </c>
      <c r="H45" s="29">
        <v>1787</v>
      </c>
      <c r="I45" s="27" t="e">
        <f t="shared" si="2"/>
        <v>#REF!</v>
      </c>
      <c r="L45" s="25" t="s">
        <v>209</v>
      </c>
    </row>
    <row r="46" spans="6:12">
      <c r="F46" s="1">
        <v>15</v>
      </c>
      <c r="G46" s="25" t="s">
        <v>236</v>
      </c>
      <c r="H46" s="26">
        <v>1757</v>
      </c>
      <c r="I46" s="27" t="e">
        <f t="shared" si="2"/>
        <v>#REF!</v>
      </c>
      <c r="L46" s="28" t="s">
        <v>210</v>
      </c>
    </row>
    <row r="47" spans="6:12">
      <c r="F47" s="1">
        <v>16</v>
      </c>
      <c r="G47" s="28" t="s">
        <v>237</v>
      </c>
      <c r="H47" s="29">
        <v>1606</v>
      </c>
      <c r="I47" s="27" t="e">
        <f t="shared" si="2"/>
        <v>#REF!</v>
      </c>
      <c r="L47" s="25" t="s">
        <v>211</v>
      </c>
    </row>
    <row r="48" spans="6:12">
      <c r="F48" s="1">
        <v>17</v>
      </c>
      <c r="G48" s="25" t="s">
        <v>179</v>
      </c>
      <c r="H48" s="26">
        <v>1576</v>
      </c>
      <c r="I48" s="27" t="e">
        <f t="shared" si="2"/>
        <v>#REF!</v>
      </c>
    </row>
    <row r="49" spans="6:12">
      <c r="F49" s="1">
        <v>18</v>
      </c>
      <c r="G49" s="28" t="s">
        <v>238</v>
      </c>
      <c r="H49" s="29">
        <v>1539</v>
      </c>
      <c r="I49" s="27" t="e">
        <f t="shared" si="2"/>
        <v>#REF!</v>
      </c>
      <c r="L49" s="1" t="s">
        <v>266</v>
      </c>
    </row>
    <row r="50" spans="6:12">
      <c r="F50" s="1">
        <v>19</v>
      </c>
      <c r="G50" s="25" t="s">
        <v>239</v>
      </c>
      <c r="H50" s="26">
        <v>1510</v>
      </c>
      <c r="I50" s="27" t="e">
        <f t="shared" si="2"/>
        <v>#REF!</v>
      </c>
    </row>
    <row r="51" spans="6:12">
      <c r="F51" s="1">
        <v>20</v>
      </c>
      <c r="G51" s="28" t="s">
        <v>240</v>
      </c>
      <c r="H51" s="29">
        <v>1476</v>
      </c>
      <c r="I51" s="27" t="e">
        <f t="shared" si="2"/>
        <v>#REF!</v>
      </c>
    </row>
    <row r="53" spans="6:12">
      <c r="G53" s="2" t="s">
        <v>175</v>
      </c>
      <c r="H53" s="31">
        <f>SUM(H32:H36)</f>
        <v>175186</v>
      </c>
      <c r="I53" s="32" t="e">
        <f>SUM(I32:I36)</f>
        <v>#REF!</v>
      </c>
    </row>
    <row r="54" spans="6:12">
      <c r="G54" s="4" t="s">
        <v>176</v>
      </c>
      <c r="H54" s="33">
        <f>SUM(H32:H51)</f>
        <v>206301</v>
      </c>
      <c r="I54" s="34" t="e">
        <f>SUM(I32:I51)</f>
        <v>#REF!</v>
      </c>
    </row>
    <row r="55" spans="6:12">
      <c r="G55" s="12" t="s">
        <v>243</v>
      </c>
      <c r="H55" s="35" t="e">
        <f>#REF!</f>
        <v>#REF!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4:L27"/>
  <sheetViews>
    <sheetView showGridLines="0" zoomScale="120" zoomScaleNormal="120" workbookViewId="0">
      <selection activeCell="H33" sqref="H33"/>
    </sheetView>
  </sheetViews>
  <sheetFormatPr baseColWidth="10" defaultColWidth="10.6640625" defaultRowHeight="15.75"/>
  <cols>
    <col min="1" max="2" width="15" style="6" customWidth="1"/>
    <col min="3" max="3" width="24" style="6" customWidth="1"/>
    <col min="4" max="9" width="13.6640625" style="6" customWidth="1"/>
    <col min="10" max="10" width="5.6640625" style="6" customWidth="1"/>
    <col min="11" max="11" width="12.5" style="6" customWidth="1"/>
    <col min="12" max="18" width="15" style="6" customWidth="1"/>
    <col min="19" max="16384" width="10.6640625" style="6"/>
  </cols>
  <sheetData>
    <row r="4" spans="3:11">
      <c r="D4" s="5">
        <v>2014</v>
      </c>
      <c r="E4" s="5">
        <v>2015</v>
      </c>
      <c r="F4" s="5">
        <v>2016</v>
      </c>
      <c r="G4" s="5">
        <v>2017</v>
      </c>
      <c r="H4" s="5">
        <v>2018</v>
      </c>
      <c r="I4" s="5">
        <v>2019</v>
      </c>
    </row>
    <row r="5" spans="3:11">
      <c r="D5" s="5"/>
      <c r="E5" s="5"/>
      <c r="F5" s="5"/>
      <c r="G5" s="5"/>
      <c r="H5" s="5"/>
      <c r="I5" s="5"/>
    </row>
    <row r="6" spans="3:11">
      <c r="C6" s="6" t="s">
        <v>158</v>
      </c>
      <c r="G6" s="6">
        <v>14</v>
      </c>
      <c r="H6" s="6">
        <v>18</v>
      </c>
      <c r="I6" s="6">
        <v>18</v>
      </c>
    </row>
    <row r="7" spans="3:11">
      <c r="C7" s="6" t="s">
        <v>157</v>
      </c>
      <c r="D7" s="11"/>
      <c r="E7" s="11"/>
      <c r="F7" s="11"/>
      <c r="G7" s="11">
        <v>34483</v>
      </c>
      <c r="H7" s="11">
        <v>40734</v>
      </c>
      <c r="I7" s="11">
        <v>47297</v>
      </c>
      <c r="K7" s="18" t="e">
        <f>H7/#REF!-1</f>
        <v>#REF!</v>
      </c>
    </row>
    <row r="8" spans="3:11">
      <c r="D8" s="14"/>
      <c r="E8" s="14"/>
      <c r="F8" s="14"/>
      <c r="G8" s="14" t="e">
        <f>G7/F7-1</f>
        <v>#DIV/0!</v>
      </c>
      <c r="H8" s="14">
        <f>H7/G7-1</f>
        <v>0.18127773105588263</v>
      </c>
      <c r="I8" s="14">
        <f>I7/H7-1</f>
        <v>0.16111847596602358</v>
      </c>
    </row>
    <row r="10" spans="3:11">
      <c r="C10" s="6" t="s">
        <v>159</v>
      </c>
      <c r="G10" s="6">
        <v>151.91</v>
      </c>
      <c r="H10" s="6">
        <v>198.73500000000001</v>
      </c>
      <c r="I10" s="6">
        <v>268.64299999999997</v>
      </c>
    </row>
    <row r="11" spans="3:11">
      <c r="C11" s="6" t="s">
        <v>160</v>
      </c>
      <c r="G11" s="6">
        <v>151.4</v>
      </c>
      <c r="H11" s="13">
        <v>224.25299999999999</v>
      </c>
      <c r="I11" s="13">
        <v>383.06900000000002</v>
      </c>
    </row>
    <row r="12" spans="3:11">
      <c r="D12" s="14"/>
      <c r="E12" s="14"/>
      <c r="F12" s="14"/>
      <c r="G12" s="14" t="e">
        <f>G11/F11-1</f>
        <v>#DIV/0!</v>
      </c>
      <c r="H12" s="14">
        <f>H11/G11-1</f>
        <v>0.4811955085865256</v>
      </c>
      <c r="I12" s="14">
        <f>I11/H11-1</f>
        <v>0.70820011326492871</v>
      </c>
    </row>
    <row r="14" spans="3:11">
      <c r="C14" s="6" t="s">
        <v>161</v>
      </c>
      <c r="D14" s="11"/>
      <c r="E14" s="11"/>
      <c r="F14" s="11"/>
      <c r="G14" s="11">
        <v>13700</v>
      </c>
      <c r="H14" s="11">
        <v>18565</v>
      </c>
      <c r="I14" s="11">
        <v>28170</v>
      </c>
      <c r="K14" s="18" t="e">
        <f>H14/#REF!-1</f>
        <v>#REF!</v>
      </c>
    </row>
    <row r="15" spans="3:11">
      <c r="D15" s="14"/>
      <c r="E15" s="14"/>
      <c r="F15" s="14"/>
      <c r="G15" s="14" t="e">
        <f>G14/F14-1</f>
        <v>#DIV/0!</v>
      </c>
      <c r="H15" s="14">
        <f>H14/G14-1</f>
        <v>0.35510948905109485</v>
      </c>
      <c r="I15" s="14">
        <f>I14/H14-1</f>
        <v>0.51737139779154329</v>
      </c>
    </row>
    <row r="18" spans="3:12">
      <c r="D18" s="5"/>
      <c r="E18" s="5"/>
      <c r="F18" s="5"/>
      <c r="G18" s="5">
        <v>2017</v>
      </c>
      <c r="H18" s="5">
        <v>2018</v>
      </c>
      <c r="I18" s="5">
        <v>2019</v>
      </c>
    </row>
    <row r="19" spans="3:12">
      <c r="C19" s="6" t="s">
        <v>162</v>
      </c>
      <c r="D19" s="11"/>
      <c r="E19" s="11"/>
      <c r="F19" s="11"/>
      <c r="G19" s="11">
        <v>34483</v>
      </c>
      <c r="H19" s="11">
        <f>H7</f>
        <v>40734</v>
      </c>
      <c r="I19" s="11">
        <f>I7</f>
        <v>47297</v>
      </c>
    </row>
    <row r="20" spans="3:12">
      <c r="C20" s="6" t="s">
        <v>81</v>
      </c>
      <c r="D20" s="11"/>
      <c r="E20" s="11"/>
      <c r="F20" s="11"/>
      <c r="G20" s="11">
        <v>13700</v>
      </c>
      <c r="H20" s="11">
        <f>H14</f>
        <v>18565</v>
      </c>
      <c r="I20" s="11">
        <f>I14</f>
        <v>28170</v>
      </c>
    </row>
    <row r="22" spans="3:12">
      <c r="C22" s="20" t="s">
        <v>165</v>
      </c>
      <c r="D22" s="20"/>
      <c r="E22" s="20"/>
      <c r="F22" s="20"/>
      <c r="G22" s="20">
        <v>5</v>
      </c>
      <c r="H22" s="20">
        <v>6</v>
      </c>
      <c r="I22" s="20">
        <v>7</v>
      </c>
    </row>
    <row r="23" spans="3:12">
      <c r="C23" s="83" t="s">
        <v>163</v>
      </c>
      <c r="D23" s="17"/>
      <c r="E23" s="17"/>
      <c r="F23" s="17"/>
      <c r="G23" s="17">
        <v>2017</v>
      </c>
      <c r="H23" s="17">
        <v>2018</v>
      </c>
      <c r="I23" s="17">
        <v>2019</v>
      </c>
      <c r="K23" s="15" t="s">
        <v>242</v>
      </c>
      <c r="L23" s="16"/>
    </row>
    <row r="24" spans="3:12">
      <c r="C24" s="80" t="s">
        <v>160</v>
      </c>
      <c r="D24" s="81"/>
      <c r="E24" s="81"/>
      <c r="F24" s="81"/>
      <c r="G24" s="81">
        <v>151.4</v>
      </c>
      <c r="H24" s="81">
        <v>224.25299999999999</v>
      </c>
      <c r="I24" s="82">
        <f>I11</f>
        <v>383.06900000000002</v>
      </c>
      <c r="K24" s="19"/>
      <c r="L24" s="213" t="e">
        <f>I24-#REF!</f>
        <v>#REF!</v>
      </c>
    </row>
    <row r="25" spans="3:12">
      <c r="C25" s="3" t="s">
        <v>164</v>
      </c>
      <c r="D25" s="14"/>
      <c r="E25" s="14"/>
      <c r="F25" s="14"/>
      <c r="G25" s="14" t="e">
        <f>G24/F24-1</f>
        <v>#DIV/0!</v>
      </c>
      <c r="H25" s="14">
        <f>H24/G24-1</f>
        <v>0.4811955085865256</v>
      </c>
      <c r="I25" s="14">
        <f>I24/H24-1</f>
        <v>0.70820011326492871</v>
      </c>
      <c r="K25" s="86" t="e">
        <f>((I24/#REF!)^(1/$I$22))-1</f>
        <v>#REF!</v>
      </c>
    </row>
    <row r="26" spans="3:12">
      <c r="C26" s="80" t="s">
        <v>159</v>
      </c>
      <c r="D26" s="81"/>
      <c r="E26" s="81"/>
      <c r="F26" s="81"/>
      <c r="G26" s="81">
        <v>151.91</v>
      </c>
      <c r="H26" s="81">
        <v>198.73500000000001</v>
      </c>
      <c r="I26" s="82">
        <f>I10</f>
        <v>268.64299999999997</v>
      </c>
      <c r="K26" s="19"/>
      <c r="L26" s="214" t="e">
        <f>I26-#REF!</f>
        <v>#REF!</v>
      </c>
    </row>
    <row r="27" spans="3:12">
      <c r="C27" s="3" t="s">
        <v>164</v>
      </c>
      <c r="D27" s="14"/>
      <c r="E27" s="14"/>
      <c r="F27" s="14"/>
      <c r="G27" s="14" t="e">
        <f>G26/F26-1</f>
        <v>#DIV/0!</v>
      </c>
      <c r="H27" s="14">
        <f>H26/G26-1</f>
        <v>0.30824172207227973</v>
      </c>
      <c r="I27" s="14">
        <f>I26/H26-1</f>
        <v>0.3517649130752003</v>
      </c>
      <c r="K27" s="86" t="e">
        <f>((I26/#REF!)^(1/$I$22))-1</f>
        <v>#REF!</v>
      </c>
    </row>
  </sheetData>
  <pageMargins left="0.7" right="0.7" top="0.75" bottom="0.75" header="0.3" footer="0.3"/>
  <ignoredErrors>
    <ignoredError sqref="I26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G10:AC79"/>
  <sheetViews>
    <sheetView showGridLines="0" topLeftCell="F42" zoomScale="120" zoomScaleNormal="120" workbookViewId="0">
      <selection activeCell="H72" sqref="H72:K79"/>
    </sheetView>
  </sheetViews>
  <sheetFormatPr baseColWidth="10" defaultColWidth="10.6640625" defaultRowHeight="15.75"/>
  <cols>
    <col min="1" max="7" width="10.6640625" style="6"/>
    <col min="8" max="8" width="48.1640625" style="6" bestFit="1" customWidth="1"/>
    <col min="9" max="10" width="14.1640625" style="6" bestFit="1" customWidth="1"/>
    <col min="11" max="11" width="14.1640625" style="6" customWidth="1"/>
    <col min="12" max="12" width="6.1640625" style="6" customWidth="1"/>
    <col min="13" max="13" width="14.6640625" style="6" customWidth="1"/>
    <col min="14" max="14" width="3.1640625" style="6" customWidth="1"/>
    <col min="15" max="15" width="13.6640625" style="6" bestFit="1" customWidth="1"/>
    <col min="16" max="16" width="2.5" style="6" customWidth="1"/>
    <col min="17" max="17" width="10.6640625" style="6"/>
    <col min="18" max="18" width="12" style="6" bestFit="1" customWidth="1"/>
    <col min="19" max="24" width="10.6640625" style="6"/>
    <col min="25" max="25" width="6.1640625" style="6" customWidth="1"/>
    <col min="26" max="29" width="10.6640625" style="6"/>
    <col min="30" max="30" width="4.1640625" style="6" customWidth="1"/>
    <col min="31" max="16384" width="10.6640625" style="6"/>
  </cols>
  <sheetData>
    <row r="10" spans="8:13" ht="31.5">
      <c r="H10" s="37" t="s">
        <v>83</v>
      </c>
      <c r="I10" s="22">
        <v>2017</v>
      </c>
      <c r="J10" s="22">
        <v>2018</v>
      </c>
      <c r="K10" s="88">
        <v>2019</v>
      </c>
      <c r="M10" s="38" t="s">
        <v>85</v>
      </c>
    </row>
    <row r="11" spans="8:13">
      <c r="H11" s="6" t="s">
        <v>81</v>
      </c>
      <c r="I11" s="39">
        <f>I20</f>
        <v>0</v>
      </c>
      <c r="J11" s="39">
        <f>J20</f>
        <v>0</v>
      </c>
      <c r="K11" s="39">
        <f>K20</f>
        <v>0</v>
      </c>
      <c r="M11" s="40">
        <f>K11-I11</f>
        <v>0</v>
      </c>
    </row>
    <row r="12" spans="8:13" s="37" customFormat="1">
      <c r="H12" s="37" t="s">
        <v>84</v>
      </c>
      <c r="I12" s="41" t="e">
        <f>I11/#REF!-1</f>
        <v>#REF!</v>
      </c>
      <c r="J12" s="41" t="e">
        <f>J11/I11-1</f>
        <v>#DIV/0!</v>
      </c>
      <c r="K12" s="41" t="e">
        <f>K11/J11-1</f>
        <v>#DIV/0!</v>
      </c>
      <c r="M12" s="41" t="e">
        <f>K11/I11-1</f>
        <v>#DIV/0!</v>
      </c>
    </row>
    <row r="15" spans="8:13">
      <c r="H15" s="6" t="s">
        <v>82</v>
      </c>
      <c r="I15" s="39">
        <f>I21</f>
        <v>0</v>
      </c>
      <c r="J15" s="39">
        <f>J21</f>
        <v>0</v>
      </c>
      <c r="K15" s="39">
        <f>K21</f>
        <v>0</v>
      </c>
      <c r="M15" s="40">
        <f>K15-I15</f>
        <v>0</v>
      </c>
    </row>
    <row r="16" spans="8:13">
      <c r="H16" s="37" t="s">
        <v>84</v>
      </c>
      <c r="I16" s="41" t="e">
        <f>I15/#REF!-1</f>
        <v>#REF!</v>
      </c>
      <c r="J16" s="41" t="e">
        <f>J15/I15-1</f>
        <v>#DIV/0!</v>
      </c>
      <c r="K16" s="41" t="e">
        <f>K15/J15-1</f>
        <v>#DIV/0!</v>
      </c>
      <c r="M16" s="42" t="e">
        <f>K15/I15-1</f>
        <v>#DIV/0!</v>
      </c>
    </row>
    <row r="19" spans="8:15">
      <c r="I19" s="22">
        <v>2017</v>
      </c>
      <c r="J19" s="22">
        <v>2018</v>
      </c>
      <c r="K19" s="89">
        <v>2019</v>
      </c>
    </row>
    <row r="20" spans="8:15">
      <c r="H20" s="6" t="s">
        <v>81</v>
      </c>
      <c r="I20" s="39">
        <f>'P&amp;L détaillé'!H20</f>
        <v>0</v>
      </c>
      <c r="J20" s="39">
        <f>'P&amp;L détaillé'!I20</f>
        <v>0</v>
      </c>
      <c r="K20" s="39">
        <f>'P&amp;L détaillé'!J20</f>
        <v>0</v>
      </c>
    </row>
    <row r="21" spans="8:15">
      <c r="H21" s="6" t="s">
        <v>82</v>
      </c>
      <c r="I21" s="39">
        <f>'P&amp;L détaillé'!H41</f>
        <v>0</v>
      </c>
      <c r="J21" s="39">
        <f>'P&amp;L détaillé'!I41</f>
        <v>0</v>
      </c>
      <c r="K21" s="39">
        <f>'P&amp;L détaillé'!J41</f>
        <v>0</v>
      </c>
    </row>
    <row r="26" spans="8:15">
      <c r="I26" s="22">
        <v>2017</v>
      </c>
      <c r="J26" s="22">
        <v>2018</v>
      </c>
      <c r="K26" s="89">
        <v>2019</v>
      </c>
      <c r="L26" s="5"/>
      <c r="M26" s="22" t="s">
        <v>88</v>
      </c>
      <c r="O26" s="52" t="s">
        <v>221</v>
      </c>
    </row>
    <row r="27" spans="8:15">
      <c r="H27" s="6" t="s">
        <v>86</v>
      </c>
      <c r="I27" s="46">
        <f>'Etats financiers et ratios'!E158</f>
        <v>1.9762473128206479E-2</v>
      </c>
      <c r="J27" s="46">
        <f>'Etats financiers et ratios'!F158</f>
        <v>1.9756387451618809E-2</v>
      </c>
      <c r="K27" s="46">
        <f>'Etats financiers et ratios'!G158</f>
        <v>2.0858326178291038E-2</v>
      </c>
      <c r="L27" s="43"/>
      <c r="M27" s="47">
        <f>AVERAGE(I27:K27)</f>
        <v>2.0125728919372109E-2</v>
      </c>
      <c r="O27" s="84">
        <v>3</v>
      </c>
    </row>
    <row r="28" spans="8:15">
      <c r="H28" s="6" t="s">
        <v>87</v>
      </c>
      <c r="I28" s="208">
        <f>'Etats financiers et ratios'!E160</f>
        <v>0.31277983614256638</v>
      </c>
      <c r="J28" s="208">
        <f>'Etats financiers et ratios'!F160</f>
        <v>0.31402319587628857</v>
      </c>
      <c r="K28" s="208">
        <f>'Etats financiers et ratios'!G160</f>
        <v>0.38688127226237456</v>
      </c>
      <c r="L28" s="43"/>
      <c r="M28" s="45">
        <f>AVERAGE(I28:K28)</f>
        <v>0.33789476809374319</v>
      </c>
      <c r="O28" s="84">
        <v>1</v>
      </c>
    </row>
    <row r="31" spans="8:15">
      <c r="H31" s="37" t="s">
        <v>83</v>
      </c>
      <c r="I31" s="22">
        <v>2017</v>
      </c>
      <c r="J31" s="22">
        <v>2018</v>
      </c>
      <c r="K31" s="89">
        <v>2019</v>
      </c>
      <c r="M31" s="206" t="s">
        <v>88</v>
      </c>
      <c r="O31" s="52" t="s">
        <v>221</v>
      </c>
    </row>
    <row r="32" spans="8:15" ht="15.95" customHeight="1">
      <c r="H32" s="6" t="s">
        <v>22</v>
      </c>
      <c r="I32" s="40">
        <f>'Etats financiers et ratios'!E39</f>
        <v>71536</v>
      </c>
      <c r="J32" s="40">
        <f>'Etats financiers et ratios'!F39</f>
        <v>88963.299999999988</v>
      </c>
      <c r="K32" s="40">
        <f>'Etats financiers et ratios'!G39</f>
        <v>114846</v>
      </c>
    </row>
    <row r="33" spans="7:29">
      <c r="H33" s="6" t="s">
        <v>24</v>
      </c>
      <c r="I33" s="40">
        <f>-'Etats financiers et ratios'!E43</f>
        <v>27206</v>
      </c>
      <c r="J33" s="40">
        <f>-'Etats financiers et ratios'!F43</f>
        <v>36637</v>
      </c>
      <c r="K33" s="40">
        <f>-'Etats financiers et ratios'!G43</f>
        <v>44952</v>
      </c>
    </row>
    <row r="34" spans="7:29">
      <c r="H34" s="5" t="s">
        <v>89</v>
      </c>
      <c r="I34" s="44">
        <f>I33/I32</f>
        <v>0.3803120107358533</v>
      </c>
      <c r="J34" s="44">
        <f>J33/J32</f>
        <v>0.41182150392352807</v>
      </c>
      <c r="K34" s="44">
        <f>K33/K32</f>
        <v>0.39141110704769866</v>
      </c>
      <c r="M34" s="45">
        <f>AVERAGE(I34:K34)</f>
        <v>0.39451487390236001</v>
      </c>
      <c r="O34" s="84">
        <v>1</v>
      </c>
    </row>
    <row r="38" spans="7:29">
      <c r="H38" s="267" t="s">
        <v>222</v>
      </c>
      <c r="I38" s="267"/>
      <c r="J38" s="267"/>
      <c r="K38" s="267"/>
      <c r="L38" s="267"/>
    </row>
    <row r="40" spans="7:29">
      <c r="I40" s="22">
        <v>2017</v>
      </c>
      <c r="J40" s="22">
        <v>2018</v>
      </c>
      <c r="K40" s="89">
        <v>2019</v>
      </c>
    </row>
    <row r="41" spans="7:29">
      <c r="H41" s="6" t="s">
        <v>90</v>
      </c>
      <c r="I41" s="48">
        <f>'P&amp;L détaillé'!H3</f>
        <v>0</v>
      </c>
      <c r="J41" s="48">
        <f>'P&amp;L détaillé'!I3</f>
        <v>0</v>
      </c>
      <c r="K41" s="48">
        <f>'P&amp;L détaillé'!J3</f>
        <v>0</v>
      </c>
    </row>
    <row r="42" spans="7:29">
      <c r="H42" s="6" t="s">
        <v>91</v>
      </c>
      <c r="I42" s="48">
        <f>'P&amp;L détaillé'!H4</f>
        <v>0</v>
      </c>
      <c r="J42" s="48">
        <f>'P&amp;L détaillé'!I4</f>
        <v>0</v>
      </c>
      <c r="K42" s="48">
        <f>'P&amp;L détaillé'!J4</f>
        <v>0</v>
      </c>
      <c r="U42" s="267" t="s">
        <v>213</v>
      </c>
      <c r="V42" s="267"/>
      <c r="W42" s="267"/>
      <c r="X42" s="267"/>
      <c r="Y42" s="267"/>
      <c r="Z42" s="267"/>
      <c r="AA42" s="267"/>
      <c r="AB42" s="267"/>
      <c r="AC42" s="89"/>
    </row>
    <row r="43" spans="7:29">
      <c r="G43" s="49"/>
      <c r="H43" s="6" t="s">
        <v>95</v>
      </c>
      <c r="I43" s="48">
        <f>'P&amp;L détaillé'!H5</f>
        <v>0</v>
      </c>
      <c r="J43" s="48">
        <f>'P&amp;L détaillé'!I5</f>
        <v>0</v>
      </c>
      <c r="K43" s="48">
        <f>'P&amp;L détaillé'!J5</f>
        <v>0</v>
      </c>
      <c r="U43" s="268" t="s">
        <v>83</v>
      </c>
      <c r="V43" s="268"/>
      <c r="W43" s="268"/>
      <c r="X43" s="90"/>
      <c r="Z43" s="268" t="s">
        <v>218</v>
      </c>
      <c r="AA43" s="268"/>
      <c r="AB43" s="268"/>
      <c r="AC43" s="90"/>
    </row>
    <row r="44" spans="7:29" s="5" customFormat="1">
      <c r="G44" s="50" t="s">
        <v>106</v>
      </c>
      <c r="H44" s="5" t="s">
        <v>107</v>
      </c>
      <c r="I44" s="51">
        <f>SUM(I41:I43)</f>
        <v>0</v>
      </c>
      <c r="J44" s="51">
        <f>SUM(J41:J43)</f>
        <v>0</v>
      </c>
      <c r="K44" s="51">
        <f>SUM(K41:K43)</f>
        <v>0</v>
      </c>
      <c r="U44" s="5">
        <v>2017</v>
      </c>
      <c r="V44" s="5">
        <v>2018</v>
      </c>
      <c r="W44" s="5">
        <v>2019</v>
      </c>
      <c r="Y44" s="5">
        <v>2017</v>
      </c>
      <c r="Z44" s="5">
        <v>2018</v>
      </c>
      <c r="AA44" s="5">
        <v>2019</v>
      </c>
    </row>
    <row r="45" spans="7:29">
      <c r="G45" s="49"/>
      <c r="I45" s="52"/>
      <c r="J45" s="52"/>
      <c r="K45" s="52"/>
      <c r="T45" s="49" t="s">
        <v>219</v>
      </c>
      <c r="U45" s="39">
        <f t="shared" ref="U45:W47" si="0">I41-I46</f>
        <v>0</v>
      </c>
      <c r="V45" s="39">
        <f t="shared" si="0"/>
        <v>0</v>
      </c>
      <c r="W45" s="39">
        <f t="shared" si="0"/>
        <v>0</v>
      </c>
      <c r="Y45" s="72" t="e">
        <f t="shared" ref="Y45:AA49" si="1">U45/U$50</f>
        <v>#DIV/0!</v>
      </c>
      <c r="Z45" s="72" t="e">
        <f t="shared" si="1"/>
        <v>#DIV/0!</v>
      </c>
      <c r="AA45" s="72" t="e">
        <f t="shared" si="1"/>
        <v>#DIV/0!</v>
      </c>
    </row>
    <row r="46" spans="7:29">
      <c r="G46" s="49"/>
      <c r="H46" s="6" t="s">
        <v>92</v>
      </c>
      <c r="I46" s="48">
        <f>'P&amp;L détaillé'!H8</f>
        <v>0</v>
      </c>
      <c r="J46" s="48">
        <f>'P&amp;L détaillé'!I8</f>
        <v>0</v>
      </c>
      <c r="K46" s="48">
        <f>'P&amp;L détaillé'!J8</f>
        <v>0</v>
      </c>
      <c r="T46" s="49" t="s">
        <v>217</v>
      </c>
      <c r="U46" s="39">
        <f t="shared" si="0"/>
        <v>0</v>
      </c>
      <c r="V46" s="39">
        <f t="shared" si="0"/>
        <v>0</v>
      </c>
      <c r="W46" s="39">
        <f t="shared" si="0"/>
        <v>0</v>
      </c>
      <c r="Y46" s="72" t="e">
        <f t="shared" si="1"/>
        <v>#DIV/0!</v>
      </c>
      <c r="Z46" s="72" t="e">
        <f t="shared" si="1"/>
        <v>#DIV/0!</v>
      </c>
      <c r="AA46" s="72" t="e">
        <f t="shared" si="1"/>
        <v>#DIV/0!</v>
      </c>
    </row>
    <row r="47" spans="7:29">
      <c r="G47" s="49"/>
      <c r="H47" s="6" t="s">
        <v>93</v>
      </c>
      <c r="I47" s="48">
        <f>'P&amp;L détaillé'!H9</f>
        <v>0</v>
      </c>
      <c r="J47" s="48">
        <f>'P&amp;L détaillé'!I9</f>
        <v>0</v>
      </c>
      <c r="K47" s="48">
        <f>'P&amp;L détaillé'!J9</f>
        <v>0</v>
      </c>
      <c r="T47" s="49" t="s">
        <v>214</v>
      </c>
      <c r="U47" s="39">
        <f t="shared" si="0"/>
        <v>0</v>
      </c>
      <c r="V47" s="39">
        <f t="shared" si="0"/>
        <v>0</v>
      </c>
      <c r="W47" s="39">
        <f t="shared" si="0"/>
        <v>0</v>
      </c>
      <c r="Y47" s="72" t="e">
        <f t="shared" si="1"/>
        <v>#DIV/0!</v>
      </c>
      <c r="Z47" s="72" t="e">
        <f t="shared" si="1"/>
        <v>#DIV/0!</v>
      </c>
      <c r="AA47" s="72" t="e">
        <f t="shared" si="1"/>
        <v>#DIV/0!</v>
      </c>
    </row>
    <row r="48" spans="7:29">
      <c r="G48" s="49"/>
      <c r="H48" s="6" t="s">
        <v>94</v>
      </c>
      <c r="I48" s="48">
        <f>'P&amp;L détaillé'!H10</f>
        <v>0</v>
      </c>
      <c r="J48" s="48">
        <f>'P&amp;L détaillé'!I10</f>
        <v>0</v>
      </c>
      <c r="K48" s="48">
        <f>'P&amp;L détaillé'!J10</f>
        <v>0</v>
      </c>
      <c r="T48" s="49" t="s">
        <v>215</v>
      </c>
      <c r="U48" s="39">
        <f t="shared" ref="U48:W49" si="2">I54</f>
        <v>0</v>
      </c>
      <c r="V48" s="39">
        <f t="shared" si="2"/>
        <v>0</v>
      </c>
      <c r="W48" s="39">
        <f t="shared" si="2"/>
        <v>0</v>
      </c>
      <c r="Y48" s="72" t="e">
        <f t="shared" si="1"/>
        <v>#DIV/0!</v>
      </c>
      <c r="Z48" s="72" t="e">
        <f t="shared" si="1"/>
        <v>#DIV/0!</v>
      </c>
      <c r="AA48" s="72" t="e">
        <f t="shared" si="1"/>
        <v>#DIV/0!</v>
      </c>
    </row>
    <row r="49" spans="7:29" s="5" customFormat="1">
      <c r="G49" s="50" t="s">
        <v>108</v>
      </c>
      <c r="H49" s="5" t="s">
        <v>109</v>
      </c>
      <c r="I49" s="51">
        <f>SUM(I46:I48)</f>
        <v>0</v>
      </c>
      <c r="J49" s="51">
        <f>SUM(J46:J48)</f>
        <v>0</v>
      </c>
      <c r="K49" s="51">
        <f>SUM(K46:K48)</f>
        <v>0</v>
      </c>
      <c r="T49" s="49" t="s">
        <v>216</v>
      </c>
      <c r="U49" s="39">
        <f t="shared" si="2"/>
        <v>0</v>
      </c>
      <c r="V49" s="39">
        <f t="shared" si="2"/>
        <v>0</v>
      </c>
      <c r="W49" s="39">
        <f t="shared" si="2"/>
        <v>0</v>
      </c>
      <c r="Y49" s="72" t="e">
        <f t="shared" si="1"/>
        <v>#DIV/0!</v>
      </c>
      <c r="Z49" s="72" t="e">
        <f t="shared" si="1"/>
        <v>#DIV/0!</v>
      </c>
      <c r="AA49" s="72" t="e">
        <f t="shared" si="1"/>
        <v>#DIV/0!</v>
      </c>
    </row>
    <row r="50" spans="7:29">
      <c r="G50" s="49"/>
      <c r="I50" s="52"/>
      <c r="J50" s="52"/>
      <c r="K50" s="52"/>
      <c r="T50" s="50" t="s">
        <v>81</v>
      </c>
      <c r="U50" s="71">
        <f>SUM(U45:U49)</f>
        <v>0</v>
      </c>
      <c r="V50" s="71">
        <f>SUM(V45:V49)</f>
        <v>0</v>
      </c>
      <c r="W50" s="71">
        <f>SUM(W45:W49)</f>
        <v>0</v>
      </c>
      <c r="Y50" s="73" t="e">
        <f>SUM(Y45:Y49)</f>
        <v>#DIV/0!</v>
      </c>
      <c r="Z50" s="73" t="e">
        <f>SUM(Z45:Z49)</f>
        <v>#DIV/0!</v>
      </c>
      <c r="AA50" s="73" t="e">
        <f>SUM(AA45:AA49)</f>
        <v>#DIV/0!</v>
      </c>
    </row>
    <row r="51" spans="7:29">
      <c r="G51" s="53" t="s">
        <v>110</v>
      </c>
      <c r="H51" s="54" t="s">
        <v>97</v>
      </c>
      <c r="I51" s="55">
        <f>SUM(I41:I43)-SUM(I46:I48)</f>
        <v>0</v>
      </c>
      <c r="J51" s="55">
        <f>SUM(J41:J43)-SUM(J46:J48)</f>
        <v>0</v>
      </c>
      <c r="K51" s="55">
        <f>SUM(K41:K43)-SUM(K46:K48)</f>
        <v>0</v>
      </c>
    </row>
    <row r="52" spans="7:29" s="10" customFormat="1">
      <c r="G52" s="56" t="s">
        <v>116</v>
      </c>
      <c r="H52" s="57" t="s">
        <v>98</v>
      </c>
      <c r="I52" s="58" t="e">
        <f>I51/I44</f>
        <v>#DIV/0!</v>
      </c>
      <c r="J52" s="58" t="e">
        <f>J51/J44</f>
        <v>#DIV/0!</v>
      </c>
      <c r="K52" s="58" t="e">
        <f>K51/K44</f>
        <v>#DIV/0!</v>
      </c>
    </row>
    <row r="53" spans="7:29">
      <c r="G53" s="49"/>
      <c r="I53" s="52"/>
      <c r="J53" s="52"/>
      <c r="K53" s="52"/>
      <c r="Z53" s="5">
        <v>2016</v>
      </c>
      <c r="AA53" s="5">
        <v>2017</v>
      </c>
      <c r="AB53" s="5">
        <v>2018</v>
      </c>
      <c r="AC53" s="5"/>
    </row>
    <row r="54" spans="7:29">
      <c r="G54" s="49" t="s">
        <v>111</v>
      </c>
      <c r="H54" s="6" t="s">
        <v>96</v>
      </c>
      <c r="I54" s="48">
        <f>'P&amp;L détaillé'!H16</f>
        <v>0</v>
      </c>
      <c r="J54" s="48">
        <f>'P&amp;L détaillé'!I16</f>
        <v>0</v>
      </c>
      <c r="K54" s="48">
        <f>'P&amp;L détaillé'!J16</f>
        <v>0</v>
      </c>
      <c r="Y54" s="49" t="s">
        <v>219</v>
      </c>
      <c r="Z54" s="72">
        <v>0.68424581005586593</v>
      </c>
      <c r="AA54" s="72">
        <v>0.57335766423357659</v>
      </c>
      <c r="AB54" s="72">
        <v>0.66846215997845404</v>
      </c>
      <c r="AC54" s="78"/>
    </row>
    <row r="55" spans="7:29">
      <c r="G55" s="49" t="s">
        <v>112</v>
      </c>
      <c r="H55" s="6" t="s">
        <v>99</v>
      </c>
      <c r="I55" s="48">
        <f>'P&amp;L détaillé'!H17+'P&amp;L détaillé'!H18</f>
        <v>0</v>
      </c>
      <c r="J55" s="48">
        <f>'P&amp;L détaillé'!I17+'P&amp;L détaillé'!I18</f>
        <v>0</v>
      </c>
      <c r="K55" s="48">
        <f>'P&amp;L détaillé'!J17+'P&amp;L détaillé'!J18</f>
        <v>0</v>
      </c>
      <c r="Y55" s="49" t="s">
        <v>217</v>
      </c>
      <c r="Z55" s="72">
        <v>-0.1646927374301676</v>
      </c>
      <c r="AA55" s="72">
        <v>-1.145985401459854E-2</v>
      </c>
      <c r="AB55" s="72">
        <v>-0.10509022353891732</v>
      </c>
      <c r="AC55" s="78"/>
    </row>
    <row r="56" spans="7:29">
      <c r="G56" s="49"/>
      <c r="I56" s="52"/>
      <c r="J56" s="52"/>
      <c r="K56" s="52"/>
      <c r="Y56" s="49" t="s">
        <v>214</v>
      </c>
      <c r="Z56" s="72">
        <v>0.20089385474860336</v>
      </c>
      <c r="AA56" s="72">
        <v>0.18598540145985401</v>
      </c>
      <c r="AB56" s="72">
        <v>0.20328575276057095</v>
      </c>
      <c r="AC56" s="78"/>
    </row>
    <row r="57" spans="7:29" s="5" customFormat="1">
      <c r="G57" s="50" t="s">
        <v>113</v>
      </c>
      <c r="H57" s="59" t="s">
        <v>100</v>
      </c>
      <c r="I57" s="60">
        <f>I51+I54+I55</f>
        <v>0</v>
      </c>
      <c r="J57" s="60">
        <f>J51+J54+J55</f>
        <v>0</v>
      </c>
      <c r="K57" s="60">
        <f>K51+K54+K55</f>
        <v>0</v>
      </c>
      <c r="W57" s="6"/>
      <c r="X57" s="6"/>
      <c r="Y57" s="49" t="s">
        <v>215</v>
      </c>
      <c r="Z57" s="72">
        <v>0.17106145251396648</v>
      </c>
      <c r="AA57" s="72">
        <v>0.18445255474452554</v>
      </c>
      <c r="AB57" s="72">
        <v>9.4424993266900084E-2</v>
      </c>
      <c r="AC57" s="78"/>
    </row>
    <row r="58" spans="7:29" s="10" customFormat="1">
      <c r="G58" s="56" t="s">
        <v>117</v>
      </c>
      <c r="H58" s="61" t="s">
        <v>105</v>
      </c>
      <c r="I58" s="62" t="e">
        <f>I57/(I44+I54+I55)</f>
        <v>#DIV/0!</v>
      </c>
      <c r="J58" s="62" t="e">
        <f>J57/(J44+J54+J55)</f>
        <v>#DIV/0!</v>
      </c>
      <c r="K58" s="62" t="e">
        <f>K57/(K44+K54+K55)</f>
        <v>#DIV/0!</v>
      </c>
      <c r="W58" s="5"/>
      <c r="X58" s="5"/>
      <c r="Y58" s="49" t="s">
        <v>216</v>
      </c>
      <c r="Z58" s="72">
        <v>0.10849162011173184</v>
      </c>
      <c r="AA58" s="72">
        <v>6.7664233576642335E-2</v>
      </c>
      <c r="AB58" s="72">
        <v>0.13891731753299219</v>
      </c>
      <c r="AC58" s="78"/>
    </row>
    <row r="59" spans="7:29">
      <c r="Y59" s="50" t="s">
        <v>81</v>
      </c>
      <c r="Z59" s="73">
        <v>1</v>
      </c>
      <c r="AA59" s="73">
        <v>0.99999999999999989</v>
      </c>
      <c r="AB59" s="73">
        <v>1</v>
      </c>
      <c r="AC59" s="207"/>
    </row>
    <row r="60" spans="7:29">
      <c r="G60" s="49" t="s">
        <v>114</v>
      </c>
      <c r="H60" s="6" t="s">
        <v>101</v>
      </c>
      <c r="I60" s="48">
        <f>'P&amp;L détaillé'!H23+'P&amp;L détaillé'!H24+'P&amp;L détaillé'!H25</f>
        <v>0</v>
      </c>
      <c r="J60" s="48">
        <f>'P&amp;L détaillé'!I23+'P&amp;L détaillé'!I24+'P&amp;L détaillé'!I25</f>
        <v>0</v>
      </c>
      <c r="K60" s="48">
        <f>'P&amp;L détaillé'!J23+'P&amp;L détaillé'!J24+'P&amp;L détaillé'!J25</f>
        <v>0</v>
      </c>
    </row>
    <row r="61" spans="7:29">
      <c r="I61" s="52"/>
      <c r="J61" s="52"/>
      <c r="K61" s="52"/>
    </row>
    <row r="62" spans="7:29">
      <c r="G62" s="49" t="s">
        <v>115</v>
      </c>
      <c r="H62" s="63" t="s">
        <v>102</v>
      </c>
      <c r="I62" s="64">
        <f>I57-I60</f>
        <v>0</v>
      </c>
      <c r="J62" s="64">
        <f>J57-J60</f>
        <v>0</v>
      </c>
      <c r="K62" s="64">
        <f>K57-K60</f>
        <v>0</v>
      </c>
    </row>
    <row r="63" spans="7:29">
      <c r="G63" s="56" t="s">
        <v>118</v>
      </c>
      <c r="H63" s="65" t="s">
        <v>102</v>
      </c>
      <c r="I63" s="66" t="e">
        <f>I62/(I44+I54+I55)</f>
        <v>#DIV/0!</v>
      </c>
      <c r="J63" s="66" t="e">
        <f>J62/(J44+J54+J55)</f>
        <v>#DIV/0!</v>
      </c>
      <c r="K63" s="66" t="e">
        <f>K62/(K44+K54+K55)</f>
        <v>#DIV/0!</v>
      </c>
    </row>
    <row r="64" spans="7:29">
      <c r="I64" s="52"/>
      <c r="J64" s="52"/>
      <c r="K64" s="52"/>
    </row>
    <row r="65" spans="7:11">
      <c r="G65" s="49" t="s">
        <v>119</v>
      </c>
      <c r="H65" s="6" t="s">
        <v>103</v>
      </c>
      <c r="I65" s="48">
        <f>'P&amp;L détaillé'!H30</f>
        <v>0</v>
      </c>
      <c r="J65" s="48">
        <f>'P&amp;L détaillé'!I30</f>
        <v>0</v>
      </c>
      <c r="K65" s="48">
        <f>'P&amp;L détaillé'!J30</f>
        <v>0</v>
      </c>
    </row>
    <row r="67" spans="7:11">
      <c r="G67" s="49" t="s">
        <v>120</v>
      </c>
      <c r="H67" s="67" t="s">
        <v>220</v>
      </c>
      <c r="I67" s="68">
        <f>I62-I65</f>
        <v>0</v>
      </c>
      <c r="J67" s="68">
        <f>J62-J65</f>
        <v>0</v>
      </c>
      <c r="K67" s="68">
        <f>K62-K65</f>
        <v>0</v>
      </c>
    </row>
    <row r="68" spans="7:11">
      <c r="G68" s="56" t="s">
        <v>121</v>
      </c>
      <c r="H68" s="69" t="s">
        <v>104</v>
      </c>
      <c r="I68" s="70" t="e">
        <f>I67/(I44+I54+I55)</f>
        <v>#DIV/0!</v>
      </c>
      <c r="J68" s="70" t="e">
        <f>J67/(J44+J54+J55)</f>
        <v>#DIV/0!</v>
      </c>
      <c r="K68" s="70" t="e">
        <f>K67/(K44+K54+K55)</f>
        <v>#DIV/0!</v>
      </c>
    </row>
    <row r="69" spans="7:11">
      <c r="H69" s="69" t="s">
        <v>264</v>
      </c>
      <c r="I69" s="70" t="e">
        <f>I63-I68</f>
        <v>#DIV/0!</v>
      </c>
      <c r="J69" s="70" t="e">
        <f>J63-J68</f>
        <v>#DIV/0!</v>
      </c>
      <c r="K69" s="70" t="e">
        <f>K63-K68</f>
        <v>#DIV/0!</v>
      </c>
    </row>
    <row r="72" spans="7:11">
      <c r="I72" s="5">
        <v>2017</v>
      </c>
      <c r="J72" s="5">
        <v>2018</v>
      </c>
      <c r="K72" s="5">
        <v>2019</v>
      </c>
    </row>
    <row r="73" spans="7:11">
      <c r="H73" s="7" t="s">
        <v>9</v>
      </c>
      <c r="I73" s="74">
        <f>'Etats financiers et ratios'!E119/100</f>
        <v>0.61153146142990911</v>
      </c>
      <c r="J73" s="74">
        <f>'Etats financiers et ratios'!F119/100</f>
        <v>0.58228328390493533</v>
      </c>
      <c r="K73" s="75">
        <f>'Etats financiers et ratios'!G119/100</f>
        <v>0.59763415455289781</v>
      </c>
    </row>
    <row r="74" spans="7:11">
      <c r="H74" s="21" t="s">
        <v>10</v>
      </c>
      <c r="I74" s="76">
        <f>'Etats financiers et ratios'!E120/100</f>
        <v>0.2485090276037614</v>
      </c>
      <c r="J74" s="76">
        <f>'Etats financiers et ratios'!F120/100</f>
        <v>0.27766544460425124</v>
      </c>
      <c r="K74" s="77">
        <f>'Etats financiers et ratios'!G120/100</f>
        <v>0.27578594238381438</v>
      </c>
    </row>
    <row r="76" spans="7:11">
      <c r="I76" s="5">
        <v>2017</v>
      </c>
      <c r="J76" s="5">
        <v>2018</v>
      </c>
      <c r="K76" s="5">
        <v>2019</v>
      </c>
    </row>
    <row r="77" spans="7:11">
      <c r="H77" s="7" t="s">
        <v>5</v>
      </c>
      <c r="I77" s="74">
        <f>'Etats financiers et ratios'!E112/100</f>
        <v>0.5537547973570025</v>
      </c>
      <c r="J77" s="74">
        <f>'Etats financiers et ratios'!F112/100</f>
        <v>0.55865602321107843</v>
      </c>
      <c r="K77" s="75">
        <f>'Etats financiers et ratios'!G112/100</f>
        <v>0.59389999940236304</v>
      </c>
    </row>
    <row r="78" spans="7:11">
      <c r="H78" s="8" t="s">
        <v>2</v>
      </c>
      <c r="I78" s="78">
        <f>'Etats financiers et ratios'!E109/100</f>
        <v>5.10972923783021E-2</v>
      </c>
      <c r="J78" s="78">
        <f>'Etats financiers et ratios'!F109/100</f>
        <v>5.5965702258896716E-2</v>
      </c>
      <c r="K78" s="79">
        <f>'Etats financiers et ratios'!G109/100</f>
        <v>4.8728925827278939E-2</v>
      </c>
    </row>
    <row r="79" spans="7:11">
      <c r="H79" s="21" t="s">
        <v>3</v>
      </c>
      <c r="I79" s="76">
        <f>'Etats financiers et ratios'!E110/100</f>
        <v>0.29089260514619575</v>
      </c>
      <c r="J79" s="76">
        <f>'Etats financiers et ratios'!F110/100</f>
        <v>0.30252233466349504</v>
      </c>
      <c r="K79" s="77">
        <f>'Etats financiers et ratios'!G110/100</f>
        <v>0.28540949087308781</v>
      </c>
    </row>
  </sheetData>
  <mergeCells count="4">
    <mergeCell ref="H38:L38"/>
    <mergeCell ref="U43:W43"/>
    <mergeCell ref="Z43:AB43"/>
    <mergeCell ref="U42:AB42"/>
  </mergeCells>
  <pageMargins left="0.7" right="0.7" top="0.75" bottom="0.75" header="0.3" footer="0.3"/>
  <pageSetup paperSize="9" orientation="portrait" horizontalDpi="0" verticalDpi="0"/>
  <ignoredErrors>
    <ignoredError sqref="I44:J44 I51:J51" formulaRange="1"/>
    <ignoredError sqref="I15:K1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3</vt:i4>
      </vt:variant>
    </vt:vector>
  </HeadingPairs>
  <TitlesOfParts>
    <vt:vector size="11" baseType="lpstr">
      <vt:lpstr>P&amp;L détaillé</vt:lpstr>
      <vt:lpstr>Etats financiers et ratios</vt:lpstr>
      <vt:lpstr>Ratios prudentiels solvabilité</vt:lpstr>
      <vt:lpstr>Ratios prudentiels liquidité</vt:lpstr>
      <vt:lpstr>E&amp;R 18</vt:lpstr>
      <vt:lpstr>E&amp;R 19</vt:lpstr>
      <vt:lpstr>Evo Activité</vt:lpstr>
      <vt:lpstr>Analyse renta</vt:lpstr>
      <vt:lpstr>'Etats financiers et ratios'!inside</vt:lpstr>
      <vt:lpstr>inside</vt:lpstr>
      <vt:lpstr>'Etats financiers et ratios'!Zone_d_impression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Charnay, Nicolas</dc:creator>
  <cp:lastModifiedBy>Anouar Hassoune</cp:lastModifiedBy>
  <cp:lastPrinted>2019-10-30T11:41:41Z</cp:lastPrinted>
  <dcterms:created xsi:type="dcterms:W3CDTF">2001-07-26T06:40:57Z</dcterms:created>
  <dcterms:modified xsi:type="dcterms:W3CDTF">2020-12-12T07:39:22Z</dcterms:modified>
</cp:coreProperties>
</file>